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35" windowHeight="9300" activeTab="2"/>
  </bookViews>
  <sheets>
    <sheet name="Data" sheetId="1" r:id="rId1"/>
    <sheet name="כיול Locking AMP" sheetId="4" r:id="rId2"/>
    <sheet name="Sheet5" sheetId="5" r:id="rId3"/>
  </sheets>
  <calcPr calcId="124519"/>
</workbook>
</file>

<file path=xl/calcChain.xml><?xml version="1.0" encoding="utf-8"?>
<calcChain xmlns="http://schemas.openxmlformats.org/spreadsheetml/2006/main">
  <c r="B30" i="5"/>
  <c r="B29"/>
  <c r="S21"/>
  <c r="S20"/>
  <c r="J18"/>
  <c r="J19" s="1"/>
  <c r="AA9" i="1"/>
  <c r="Z9"/>
  <c r="AA31" l="1"/>
  <c r="Z31"/>
  <c r="AA29"/>
  <c r="Z29"/>
  <c r="AA28"/>
  <c r="Z28"/>
  <c r="AA27"/>
  <c r="AF27" s="1"/>
  <c r="Z27"/>
  <c r="AA26"/>
  <c r="Z26"/>
  <c r="AA25"/>
  <c r="Z25"/>
  <c r="AA24"/>
  <c r="Z24"/>
  <c r="AA23"/>
  <c r="Z23"/>
  <c r="AA22"/>
  <c r="Z22"/>
  <c r="AA21"/>
  <c r="Z21"/>
  <c r="AA20"/>
  <c r="Z20"/>
  <c r="Z19"/>
  <c r="AA19"/>
  <c r="AF19" s="1"/>
  <c r="AA18"/>
  <c r="Z18"/>
  <c r="AA17"/>
  <c r="AF17" s="1"/>
  <c r="Z17"/>
  <c r="AA16"/>
  <c r="Z16"/>
  <c r="AA15"/>
  <c r="AF15" s="1"/>
  <c r="Z15"/>
  <c r="AA14"/>
  <c r="Z14"/>
  <c r="AA13"/>
  <c r="Z13"/>
  <c r="AA12"/>
  <c r="Z12"/>
  <c r="AA11"/>
  <c r="Z11"/>
  <c r="AE12"/>
  <c r="AF12" s="1"/>
  <c r="AE8"/>
  <c r="AF8" s="1"/>
  <c r="AF31"/>
  <c r="AF29"/>
  <c r="AF28"/>
  <c r="AF26"/>
  <c r="AF25"/>
  <c r="AF24"/>
  <c r="AF23"/>
  <c r="AF22"/>
  <c r="AF21"/>
  <c r="AF20"/>
  <c r="AF18"/>
  <c r="AF16"/>
  <c r="AF14"/>
  <c r="AF13"/>
  <c r="AF11"/>
  <c r="AF9"/>
  <c r="AA8"/>
  <c r="Z8"/>
  <c r="P30"/>
  <c r="T30" s="1"/>
  <c r="O30"/>
  <c r="P29"/>
  <c r="T29" s="1"/>
  <c r="O29"/>
  <c r="P28"/>
  <c r="O28"/>
  <c r="P27"/>
  <c r="O27"/>
  <c r="P26"/>
  <c r="T26" s="1"/>
  <c r="O26"/>
  <c r="P25"/>
  <c r="O25"/>
  <c r="P24"/>
  <c r="O24"/>
  <c r="P23"/>
  <c r="O23"/>
  <c r="P22"/>
  <c r="O22"/>
  <c r="P21"/>
  <c r="O21"/>
  <c r="P20"/>
  <c r="T20" s="1"/>
  <c r="O20"/>
  <c r="P19"/>
  <c r="O19"/>
  <c r="P18"/>
  <c r="O18"/>
  <c r="P17"/>
  <c r="O17"/>
  <c r="T7"/>
  <c r="T8"/>
  <c r="T9"/>
  <c r="T12"/>
  <c r="T13"/>
  <c r="T14"/>
  <c r="T15"/>
  <c r="T16"/>
  <c r="T17"/>
  <c r="T18"/>
  <c r="T19"/>
  <c r="T22"/>
  <c r="T23"/>
  <c r="T24"/>
  <c r="T25"/>
  <c r="T2"/>
  <c r="P16"/>
  <c r="O16"/>
  <c r="P15"/>
  <c r="O15"/>
  <c r="P14"/>
  <c r="O14"/>
  <c r="O13"/>
  <c r="P13"/>
  <c r="P12"/>
  <c r="O12"/>
  <c r="P11"/>
  <c r="O11"/>
  <c r="P10"/>
  <c r="O10"/>
  <c r="P9"/>
  <c r="O9"/>
  <c r="P8"/>
  <c r="O8"/>
  <c r="P7"/>
  <c r="O7"/>
  <c r="P6"/>
  <c r="O6"/>
  <c r="O5"/>
  <c r="P4"/>
  <c r="O4"/>
  <c r="O3"/>
  <c r="P3"/>
  <c r="O2"/>
  <c r="P2"/>
  <c r="E31"/>
  <c r="I2"/>
  <c r="I3"/>
  <c r="I4"/>
  <c r="I6"/>
  <c r="I8"/>
  <c r="I9"/>
  <c r="I10"/>
  <c r="I11"/>
  <c r="I13"/>
  <c r="I14"/>
  <c r="I15"/>
  <c r="I16"/>
  <c r="I17"/>
  <c r="I18"/>
  <c r="I19"/>
  <c r="I20"/>
  <c r="I21"/>
  <c r="I22"/>
  <c r="I23"/>
  <c r="I24"/>
  <c r="I25"/>
  <c r="I26"/>
  <c r="I27"/>
  <c r="I28"/>
  <c r="I30"/>
  <c r="I31"/>
  <c r="D31"/>
  <c r="E30"/>
  <c r="D30"/>
  <c r="E29"/>
  <c r="D29"/>
  <c r="E28"/>
  <c r="D28"/>
  <c r="E27"/>
  <c r="D27"/>
  <c r="E26"/>
  <c r="D26"/>
  <c r="D25"/>
  <c r="E25"/>
  <c r="E24"/>
  <c r="D24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AE31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1"/>
  <c r="AE9"/>
  <c r="S30"/>
  <c r="S29"/>
  <c r="S26"/>
  <c r="S25"/>
  <c r="S24"/>
  <c r="S23"/>
  <c r="S22"/>
  <c r="S20"/>
  <c r="S19"/>
  <c r="S18"/>
  <c r="S17"/>
  <c r="S16"/>
  <c r="S15"/>
  <c r="S14"/>
  <c r="S13"/>
  <c r="S12"/>
  <c r="S9"/>
  <c r="S8"/>
  <c r="S7"/>
  <c r="S2"/>
  <c r="H31"/>
  <c r="H30"/>
  <c r="H28"/>
  <c r="H27"/>
  <c r="H26"/>
  <c r="H25"/>
  <c r="H24"/>
  <c r="H23"/>
  <c r="H22"/>
  <c r="H21"/>
  <c r="H20"/>
  <c r="H19"/>
  <c r="H18"/>
  <c r="H17"/>
  <c r="H16"/>
  <c r="H15"/>
  <c r="H14"/>
  <c r="H13"/>
  <c r="H11"/>
  <c r="H10"/>
  <c r="H9"/>
  <c r="H8"/>
  <c r="H3"/>
  <c r="H4"/>
  <c r="H6"/>
  <c r="H2"/>
  <c r="E13"/>
  <c r="D13"/>
  <c r="E12"/>
  <c r="D12"/>
  <c r="D11"/>
  <c r="E11"/>
  <c r="E10"/>
  <c r="D10"/>
  <c r="E9"/>
  <c r="D9"/>
  <c r="D7"/>
  <c r="D8"/>
  <c r="E8"/>
  <c r="E7"/>
  <c r="E6"/>
  <c r="D6"/>
  <c r="D5"/>
  <c r="E5"/>
  <c r="E4"/>
  <c r="D4"/>
  <c r="E3"/>
  <c r="D3"/>
  <c r="D2"/>
  <c r="E2"/>
  <c r="G3"/>
  <c r="G4"/>
  <c r="G6"/>
  <c r="G8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2"/>
  <c r="R8"/>
  <c r="R9"/>
  <c r="R12"/>
  <c r="R13"/>
  <c r="R14"/>
  <c r="R15"/>
  <c r="R16"/>
  <c r="R17"/>
  <c r="R18"/>
  <c r="R19"/>
  <c r="R20"/>
  <c r="R22"/>
  <c r="R23"/>
  <c r="R24"/>
  <c r="R25"/>
  <c r="R26"/>
  <c r="R29"/>
  <c r="R30"/>
  <c r="R7"/>
  <c r="R2"/>
  <c r="AD29"/>
  <c r="AD30"/>
  <c r="AD31"/>
  <c r="AD13"/>
  <c r="AD14"/>
  <c r="AD15"/>
  <c r="AD16"/>
  <c r="AD17"/>
  <c r="AD18"/>
  <c r="AD19"/>
  <c r="AD20"/>
  <c r="AD21"/>
  <c r="AD22"/>
  <c r="AD23"/>
  <c r="AD24"/>
  <c r="AD25"/>
  <c r="AD26"/>
  <c r="AD27"/>
  <c r="AD28"/>
  <c r="AD12"/>
  <c r="AD11"/>
  <c r="AD9"/>
  <c r="AD8"/>
</calcChain>
</file>

<file path=xl/sharedStrings.xml><?xml version="1.0" encoding="utf-8"?>
<sst xmlns="http://schemas.openxmlformats.org/spreadsheetml/2006/main" count="80" uniqueCount="35">
  <si>
    <t>מספר טור</t>
  </si>
  <si>
    <t>מספר שורה</t>
  </si>
  <si>
    <t>מספר דגם</t>
  </si>
  <si>
    <t>.</t>
  </si>
  <si>
    <t>הערות</t>
  </si>
  <si>
    <t>התנגדות הצומת</t>
  </si>
  <si>
    <t>התנגדות שנמדדה כולל נגד במקביל</t>
  </si>
  <si>
    <t>קצר</t>
  </si>
  <si>
    <t>נפרצה לאחר מכן</t>
  </si>
  <si>
    <t>נתק. כולל גם נגד בטור</t>
  </si>
  <si>
    <t>קצר. כולל גם נגד בטור</t>
  </si>
  <si>
    <t>נתק.כולל גם נגד בטור</t>
  </si>
  <si>
    <t>קצר (נפרצה). כולל גם נגד בטור</t>
  </si>
  <si>
    <t>נפרצה לאחר מכן אין רזולוציה עד מאות אוהם. כולל גם נגד בטור</t>
  </si>
  <si>
    <t>כנראה פרצתי אותה</t>
  </si>
  <si>
    <t>כנראה הייתה 49K</t>
  </si>
  <si>
    <t>שטח הצומת חיצוני [um^2]</t>
  </si>
  <si>
    <t>שטח צומת פנימי [um^2]</t>
  </si>
  <si>
    <t>Critical Current [A]</t>
  </si>
  <si>
    <t>Critical Current density [A/um^2]</t>
  </si>
  <si>
    <t>הצומת לא בסדר</t>
  </si>
  <si>
    <r>
      <t xml:space="preserve">קצר. </t>
    </r>
    <r>
      <rPr>
        <b/>
        <sz val="10"/>
        <rFont val="Arial"/>
        <family val="2"/>
      </rPr>
      <t>הצומת לא בסדר</t>
    </r>
  </si>
  <si>
    <t xml:space="preserve"> </t>
  </si>
  <si>
    <t>מתח נמדד ב-mV (LOCKING AMP)- נגד משתנה במצב של 49KOhm</t>
  </si>
  <si>
    <t>קצר (פרצתי אותה?)</t>
  </si>
  <si>
    <t>קצר. כנראה פרצתי אותו</t>
  </si>
  <si>
    <t>מתח [mV]</t>
  </si>
  <si>
    <t>התנגדות שנמדדה [Ohm]</t>
  </si>
  <si>
    <t>לא בחישוב</t>
  </si>
  <si>
    <t>dye1</t>
  </si>
  <si>
    <t>dye2</t>
  </si>
  <si>
    <t>?</t>
  </si>
  <si>
    <t>dye3</t>
  </si>
  <si>
    <t>avrage:</t>
  </si>
  <si>
    <t>stdev: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</si>
</sst>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7" xfId="0" applyBorder="1"/>
    <xf numFmtId="0" fontId="0" fillId="0" borderId="8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5" xfId="0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'כיול Locking AMP'!$B$1</c:f>
              <c:strCache>
                <c:ptCount val="1"/>
                <c:pt idx="0">
                  <c:v>התנגדות שנמדדה [Ohm]</c:v>
                </c:pt>
              </c:strCache>
            </c:strRef>
          </c:tx>
          <c:spPr>
            <a:ln w="28575">
              <a:noFill/>
            </a:ln>
          </c:spPr>
          <c:trendline>
            <c:name>כיול לינארי</c:nam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strRef>
              <c:f>'כיול Locking AMP'!$A$1:$A$20</c:f>
              <c:strCache>
                <c:ptCount val="20"/>
                <c:pt idx="0">
                  <c:v>מתח [mV]</c:v>
                </c:pt>
                <c:pt idx="1">
                  <c:v>0.88</c:v>
                </c:pt>
                <c:pt idx="2">
                  <c:v>0.93</c:v>
                </c:pt>
                <c:pt idx="3">
                  <c:v>0.95</c:v>
                </c:pt>
                <c:pt idx="4">
                  <c:v>0.97</c:v>
                </c:pt>
                <c:pt idx="5">
                  <c:v>1.45</c:v>
                </c:pt>
                <c:pt idx="6">
                  <c:v>1.49</c:v>
                </c:pt>
                <c:pt idx="7">
                  <c:v>1.49</c:v>
                </c:pt>
                <c:pt idx="8">
                  <c:v>1.56</c:v>
                </c:pt>
                <c:pt idx="9">
                  <c:v>1.56</c:v>
                </c:pt>
                <c:pt idx="10">
                  <c:v>2.37</c:v>
                </c:pt>
                <c:pt idx="11">
                  <c:v>2.61</c:v>
                </c:pt>
                <c:pt idx="12">
                  <c:v>2.65</c:v>
                </c:pt>
                <c:pt idx="13">
                  <c:v>2.71</c:v>
                </c:pt>
                <c:pt idx="14">
                  <c:v>2.72</c:v>
                </c:pt>
                <c:pt idx="15">
                  <c:v>3.226</c:v>
                </c:pt>
                <c:pt idx="16">
                  <c:v>3.24</c:v>
                </c:pt>
                <c:pt idx="17">
                  <c:v>3.46</c:v>
                </c:pt>
                <c:pt idx="18">
                  <c:v>3.54</c:v>
                </c:pt>
                <c:pt idx="19">
                  <c:v>4.05</c:v>
                </c:pt>
              </c:strCache>
            </c:strRef>
          </c:xVal>
          <c:yVal>
            <c:numRef>
              <c:f>'כיול Locking AMP'!$B$1:$B$20</c:f>
              <c:numCache>
                <c:formatCode>General</c:formatCode>
                <c:ptCount val="20"/>
                <c:pt idx="0">
                  <c:v>0</c:v>
                </c:pt>
                <c:pt idx="1">
                  <c:v>73</c:v>
                </c:pt>
                <c:pt idx="2">
                  <c:v>86</c:v>
                </c:pt>
                <c:pt idx="3">
                  <c:v>89</c:v>
                </c:pt>
                <c:pt idx="4">
                  <c:v>90</c:v>
                </c:pt>
                <c:pt idx="5">
                  <c:v>191</c:v>
                </c:pt>
                <c:pt idx="6">
                  <c:v>197</c:v>
                </c:pt>
                <c:pt idx="7">
                  <c:v>197</c:v>
                </c:pt>
                <c:pt idx="8">
                  <c:v>210</c:v>
                </c:pt>
                <c:pt idx="9">
                  <c:v>210</c:v>
                </c:pt>
                <c:pt idx="10">
                  <c:v>380</c:v>
                </c:pt>
                <c:pt idx="11">
                  <c:v>438</c:v>
                </c:pt>
                <c:pt idx="12">
                  <c:v>444</c:v>
                </c:pt>
                <c:pt idx="13">
                  <c:v>460</c:v>
                </c:pt>
                <c:pt idx="14">
                  <c:v>459</c:v>
                </c:pt>
                <c:pt idx="15">
                  <c:v>575</c:v>
                </c:pt>
                <c:pt idx="16">
                  <c:v>579</c:v>
                </c:pt>
                <c:pt idx="17">
                  <c:v>630</c:v>
                </c:pt>
                <c:pt idx="18">
                  <c:v>650</c:v>
                </c:pt>
                <c:pt idx="19">
                  <c:v>700</c:v>
                </c:pt>
              </c:numCache>
            </c:numRef>
          </c:yVal>
        </c:ser>
        <c:axId val="64359808"/>
        <c:axId val="64357120"/>
      </c:scatterChart>
      <c:valAx>
        <c:axId val="64359808"/>
        <c:scaling>
          <c:orientation val="minMax"/>
        </c:scaling>
        <c:axPos val="b"/>
        <c:numFmt formatCode="General" sourceLinked="1"/>
        <c:tickLblPos val="nextTo"/>
        <c:crossAx val="64357120"/>
        <c:crosses val="autoZero"/>
        <c:crossBetween val="midCat"/>
      </c:valAx>
      <c:valAx>
        <c:axId val="64357120"/>
        <c:scaling>
          <c:orientation val="minMax"/>
        </c:scaling>
        <c:axPos val="l"/>
        <c:majorGridlines/>
        <c:numFmt formatCode="General" sourceLinked="1"/>
        <c:tickLblPos val="nextTo"/>
        <c:crossAx val="643598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[A/um^2]. Dye 1 sorted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Sheet5!$B$2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3239225721784777"/>
                  <c:y val="0.12384405074365705"/>
                </c:manualLayout>
              </c:layout>
              <c:numFmt formatCode="General" sourceLinked="0"/>
            </c:trendlineLbl>
          </c:trendline>
          <c:xVal>
            <c:numRef>
              <c:f>Sheet5!$A$3:$A$28</c:f>
              <c:numCache>
                <c:formatCode>General</c:formatCode>
                <c:ptCount val="26"/>
                <c:pt idx="0">
                  <c:v>1.6967999999999999</c:v>
                </c:pt>
                <c:pt idx="1">
                  <c:v>2.0295999999999998</c:v>
                </c:pt>
                <c:pt idx="2">
                  <c:v>1.6683999999999999</c:v>
                </c:pt>
                <c:pt idx="3">
                  <c:v>2.1036999999999999</c:v>
                </c:pt>
                <c:pt idx="4">
                  <c:v>4.7722000000000007</c:v>
                </c:pt>
                <c:pt idx="5">
                  <c:v>3.7600000000000002</c:v>
                </c:pt>
                <c:pt idx="6">
                  <c:v>3.6320000000000001</c:v>
                </c:pt>
                <c:pt idx="7">
                  <c:v>3.5752000000000002</c:v>
                </c:pt>
                <c:pt idx="8">
                  <c:v>6.5095000000000001</c:v>
                </c:pt>
                <c:pt idx="9">
                  <c:v>4.5579999999999998</c:v>
                </c:pt>
                <c:pt idx="10">
                  <c:v>4.4720000000000004</c:v>
                </c:pt>
                <c:pt idx="11">
                  <c:v>4.3680000000000003</c:v>
                </c:pt>
                <c:pt idx="12">
                  <c:v>6.6926000000000005</c:v>
                </c:pt>
                <c:pt idx="13">
                  <c:v>7.9222000000000001</c:v>
                </c:pt>
                <c:pt idx="14">
                  <c:v>5.9020000000000001</c:v>
                </c:pt>
                <c:pt idx="15">
                  <c:v>5.668000000000001</c:v>
                </c:pt>
                <c:pt idx="16">
                  <c:v>5.3071999999999999</c:v>
                </c:pt>
                <c:pt idx="17">
                  <c:v>10.7835</c:v>
                </c:pt>
                <c:pt idx="18">
                  <c:v>11.6046</c:v>
                </c:pt>
                <c:pt idx="19">
                  <c:v>10.3834</c:v>
                </c:pt>
                <c:pt idx="20">
                  <c:v>9.0519999999999996</c:v>
                </c:pt>
                <c:pt idx="21">
                  <c:v>10.573500000000001</c:v>
                </c:pt>
                <c:pt idx="22">
                  <c:v>15.7752</c:v>
                </c:pt>
                <c:pt idx="23">
                  <c:v>18.618599999999997</c:v>
                </c:pt>
                <c:pt idx="24">
                  <c:v>17.263999999999999</c:v>
                </c:pt>
                <c:pt idx="25">
                  <c:v>16.821999999999999</c:v>
                </c:pt>
              </c:numCache>
            </c:numRef>
          </c:xVal>
          <c:yVal>
            <c:numRef>
              <c:f>Sheet5!$B$3:$B$28</c:f>
              <c:numCache>
                <c:formatCode>General</c:formatCode>
                <c:ptCount val="26"/>
                <c:pt idx="0">
                  <c:v>3.7673108811217535E-3</c:v>
                </c:pt>
                <c:pt idx="1">
                  <c:v>3.4202128027891882E-3</c:v>
                </c:pt>
                <c:pt idx="2">
                  <c:v>3.8812457731475843E-3</c:v>
                </c:pt>
                <c:pt idx="3">
                  <c:v>3.1602951586110514E-3</c:v>
                </c:pt>
                <c:pt idx="4">
                  <c:v>1.8944497326947461E-3</c:v>
                </c:pt>
                <c:pt idx="5">
                  <c:v>2.2608958053724399E-3</c:v>
                </c:pt>
                <c:pt idx="6">
                  <c:v>2.3207812007349322E-3</c:v>
                </c:pt>
                <c:pt idx="7">
                  <c:v>2.3576519694196892E-3</c:v>
                </c:pt>
                <c:pt idx="8">
                  <c:v>1.5479461388188199E-3</c:v>
                </c:pt>
                <c:pt idx="9">
                  <c:v>1.8650654296183359E-3</c:v>
                </c:pt>
                <c:pt idx="10">
                  <c:v>1.9680721125659565E-3</c:v>
                </c:pt>
                <c:pt idx="11">
                  <c:v>2.0090179734682701E-3</c:v>
                </c:pt>
                <c:pt idx="12">
                  <c:v>1.4517925613915278E-3</c:v>
                </c:pt>
                <c:pt idx="13">
                  <c:v>1.2937063642836288E-3</c:v>
                </c:pt>
                <c:pt idx="14">
                  <c:v>1.5697666464256433E-3</c:v>
                </c:pt>
                <c:pt idx="15">
                  <c:v>1.6345735263239493E-3</c:v>
                </c:pt>
                <c:pt idx="16">
                  <c:v>1.7900613882660607E-3</c:v>
                </c:pt>
                <c:pt idx="17">
                  <c:v>1.0674799039960101E-3</c:v>
                </c:pt>
                <c:pt idx="18">
                  <c:v>1.0153931682557497E-3</c:v>
                </c:pt>
                <c:pt idx="19">
                  <c:v>1.0918066452793589E-3</c:v>
                </c:pt>
                <c:pt idx="20">
                  <c:v>1.2022706161965047E-3</c:v>
                </c:pt>
                <c:pt idx="21">
                  <c:v>1.1232607804418544E-3</c:v>
                </c:pt>
                <c:pt idx="22">
                  <c:v>8.5083614590060377E-4</c:v>
                </c:pt>
                <c:pt idx="23">
                  <c:v>7.4773428417962006E-4</c:v>
                </c:pt>
                <c:pt idx="24">
                  <c:v>7.7746237076061202E-4</c:v>
                </c:pt>
                <c:pt idx="25">
                  <c:v>8.6376563454166938E-4</c:v>
                </c:pt>
              </c:numCache>
            </c:numRef>
          </c:yVal>
        </c:ser>
        <c:axId val="60004992"/>
        <c:axId val="60003456"/>
      </c:scatterChart>
      <c:valAx>
        <c:axId val="60004992"/>
        <c:scaling>
          <c:orientation val="minMax"/>
        </c:scaling>
        <c:axPos val="b"/>
        <c:numFmt formatCode="General" sourceLinked="1"/>
        <c:tickLblPos val="nextTo"/>
        <c:crossAx val="60003456"/>
        <c:crosses val="autoZero"/>
        <c:crossBetween val="midCat"/>
      </c:valAx>
      <c:valAx>
        <c:axId val="60003456"/>
        <c:scaling>
          <c:orientation val="minMax"/>
        </c:scaling>
        <c:axPos val="l"/>
        <c:majorGridlines/>
        <c:numFmt formatCode="General" sourceLinked="1"/>
        <c:tickLblPos val="nextTo"/>
        <c:crossAx val="600049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[A/um^2]. Dye 2 sorted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Sheet5!$J$2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Sheet5!$I$3:$I$17</c:f>
              <c:numCache>
                <c:formatCode>General</c:formatCode>
                <c:ptCount val="15"/>
                <c:pt idx="0">
                  <c:v>3.2320000000000002</c:v>
                </c:pt>
                <c:pt idx="1">
                  <c:v>2.4034</c:v>
                </c:pt>
                <c:pt idx="2">
                  <c:v>1.8748</c:v>
                </c:pt>
                <c:pt idx="3">
                  <c:v>3.2761</c:v>
                </c:pt>
                <c:pt idx="4">
                  <c:v>3.0272000000000001</c:v>
                </c:pt>
                <c:pt idx="5">
                  <c:v>2.7782999999999998</c:v>
                </c:pt>
                <c:pt idx="6">
                  <c:v>5.2520000000000007</c:v>
                </c:pt>
                <c:pt idx="7">
                  <c:v>3.9458000000000002</c:v>
                </c:pt>
                <c:pt idx="8">
                  <c:v>9.3786000000000005</c:v>
                </c:pt>
                <c:pt idx="9">
                  <c:v>10.660599999999999</c:v>
                </c:pt>
                <c:pt idx="10">
                  <c:v>9.6253999999999991</c:v>
                </c:pt>
                <c:pt idx="11">
                  <c:v>8.9639000000000006</c:v>
                </c:pt>
                <c:pt idx="12">
                  <c:v>9.4951999999999988</c:v>
                </c:pt>
                <c:pt idx="13">
                  <c:v>18.757200000000001</c:v>
                </c:pt>
                <c:pt idx="14">
                  <c:v>14.649600000000001</c:v>
                </c:pt>
              </c:numCache>
            </c:numRef>
          </c:xVal>
          <c:yVal>
            <c:numRef>
              <c:f>Sheet5!$J$3:$J$17</c:f>
              <c:numCache>
                <c:formatCode>General</c:formatCode>
                <c:ptCount val="15"/>
                <c:pt idx="0">
                  <c:v>4.0049546951430572E-2</c:v>
                </c:pt>
                <c:pt idx="1">
                  <c:v>4.8904842002736822E-2</c:v>
                </c:pt>
                <c:pt idx="2">
                  <c:v>5.6109881157886281E-2</c:v>
                </c:pt>
                <c:pt idx="3">
                  <c:v>4.9518549302700318E-2</c:v>
                </c:pt>
                <c:pt idx="4">
                  <c:v>4.7208260964815126E-2</c:v>
                </c:pt>
                <c:pt idx="5">
                  <c:v>6.4656827899181785E-2</c:v>
                </c:pt>
                <c:pt idx="6">
                  <c:v>4.1879550992320373E-2</c:v>
                </c:pt>
                <c:pt idx="7">
                  <c:v>4.6416949406947884E-2</c:v>
                </c:pt>
                <c:pt idx="8">
                  <c:v>3.8214402962391113E-2</c:v>
                </c:pt>
                <c:pt idx="9">
                  <c:v>4.2323567546961705E-2</c:v>
                </c:pt>
                <c:pt idx="10">
                  <c:v>4.0865307192563462E-2</c:v>
                </c:pt>
                <c:pt idx="11">
                  <c:v>4.6721486126648344E-2</c:v>
                </c:pt>
                <c:pt idx="12">
                  <c:v>4.658227781341634E-2</c:v>
                </c:pt>
                <c:pt idx="13">
                  <c:v>4.1001394103065525E-2</c:v>
                </c:pt>
                <c:pt idx="14">
                  <c:v>2.9741683461835096E-2</c:v>
                </c:pt>
              </c:numCache>
            </c:numRef>
          </c:yVal>
        </c:ser>
        <c:axId val="99156352"/>
        <c:axId val="95591040"/>
      </c:scatterChart>
      <c:valAx>
        <c:axId val="99156352"/>
        <c:scaling>
          <c:orientation val="minMax"/>
        </c:scaling>
        <c:axPos val="b"/>
        <c:numFmt formatCode="General" sourceLinked="1"/>
        <c:tickLblPos val="nextTo"/>
        <c:crossAx val="95591040"/>
        <c:crosses val="autoZero"/>
        <c:crossBetween val="midCat"/>
      </c:valAx>
      <c:valAx>
        <c:axId val="95591040"/>
        <c:scaling>
          <c:orientation val="minMax"/>
        </c:scaling>
        <c:axPos val="l"/>
        <c:majorGridlines/>
        <c:numFmt formatCode="General" sourceLinked="1"/>
        <c:tickLblPos val="nextTo"/>
        <c:crossAx val="99156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Critical Current density [A/um^2]. Dye 3 sorted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Sheet5!$S$2</c:f>
              <c:strCache>
                <c:ptCount val="1"/>
                <c:pt idx="0">
                  <c:v>Critical Current density [A/um^2]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>
                <c:manualLayout>
                  <c:x val="0.45075634295713035"/>
                  <c:y val="0.46016550014581509"/>
                </c:manualLayout>
              </c:layout>
              <c:numFmt formatCode="General" sourceLinked="0"/>
            </c:trendlineLbl>
          </c:trendline>
          <c:xVal>
            <c:numRef>
              <c:f>Sheet5!$R$3:$R$19</c:f>
              <c:numCache>
                <c:formatCode>General</c:formatCode>
                <c:ptCount val="17"/>
                <c:pt idx="0">
                  <c:v>3.1651999999999996</c:v>
                </c:pt>
                <c:pt idx="1">
                  <c:v>2.3351999999999999</c:v>
                </c:pt>
                <c:pt idx="2">
                  <c:v>3.6456</c:v>
                </c:pt>
                <c:pt idx="3">
                  <c:v>3.0996999999999999</c:v>
                </c:pt>
                <c:pt idx="4">
                  <c:v>3.5133000000000001</c:v>
                </c:pt>
                <c:pt idx="5">
                  <c:v>4.4215000000000009</c:v>
                </c:pt>
                <c:pt idx="6">
                  <c:v>5.1239999999999997</c:v>
                </c:pt>
                <c:pt idx="7">
                  <c:v>3.7248999999999999</c:v>
                </c:pt>
                <c:pt idx="8">
                  <c:v>8.0388000000000002</c:v>
                </c:pt>
                <c:pt idx="9">
                  <c:v>8.5038999999999998</c:v>
                </c:pt>
                <c:pt idx="10">
                  <c:v>7.0970000000000004</c:v>
                </c:pt>
                <c:pt idx="11">
                  <c:v>6.7645999999999997</c:v>
                </c:pt>
                <c:pt idx="12">
                  <c:v>7.9112</c:v>
                </c:pt>
                <c:pt idx="13">
                  <c:v>14.761999999999999</c:v>
                </c:pt>
                <c:pt idx="14">
                  <c:v>17.776999999999997</c:v>
                </c:pt>
                <c:pt idx="15">
                  <c:v>13.2568</c:v>
                </c:pt>
                <c:pt idx="16">
                  <c:v>13.3108</c:v>
                </c:pt>
              </c:numCache>
            </c:numRef>
          </c:xVal>
          <c:yVal>
            <c:numRef>
              <c:f>Sheet5!$S$3:$S$19</c:f>
              <c:numCache>
                <c:formatCode>General</c:formatCode>
                <c:ptCount val="17"/>
                <c:pt idx="0">
                  <c:v>0.1334667571059765</c:v>
                </c:pt>
                <c:pt idx="1">
                  <c:v>0.14012113924021133</c:v>
                </c:pt>
                <c:pt idx="2">
                  <c:v>0.1404466387004375</c:v>
                </c:pt>
                <c:pt idx="3">
                  <c:v>0.16634405957195561</c:v>
                </c:pt>
                <c:pt idx="4">
                  <c:v>0.12962628086382308</c:v>
                </c:pt>
                <c:pt idx="5">
                  <c:v>0.1464372548371001</c:v>
                </c:pt>
                <c:pt idx="6">
                  <c:v>0.15287885152828543</c:v>
                </c:pt>
                <c:pt idx="7">
                  <c:v>0.17344129079005785</c:v>
                </c:pt>
                <c:pt idx="8">
                  <c:v>0.18867495031774853</c:v>
                </c:pt>
                <c:pt idx="9">
                  <c:v>0.1839812532241277</c:v>
                </c:pt>
                <c:pt idx="10">
                  <c:v>0.2004296152729092</c:v>
                </c:pt>
                <c:pt idx="11">
                  <c:v>0.21027835786178589</c:v>
                </c:pt>
                <c:pt idx="12">
                  <c:v>0.1917180946777122</c:v>
                </c:pt>
                <c:pt idx="13">
                  <c:v>0.23589280883644928</c:v>
                </c:pt>
                <c:pt idx="14">
                  <c:v>0.23083009462318158</c:v>
                </c:pt>
                <c:pt idx="15">
                  <c:v>0.25098144984866194</c:v>
                </c:pt>
                <c:pt idx="16">
                  <c:v>0.25277699821756322</c:v>
                </c:pt>
              </c:numCache>
            </c:numRef>
          </c:yVal>
        </c:ser>
        <c:axId val="94578944"/>
        <c:axId val="94570368"/>
      </c:scatterChart>
      <c:valAx>
        <c:axId val="94578944"/>
        <c:scaling>
          <c:orientation val="minMax"/>
        </c:scaling>
        <c:axPos val="b"/>
        <c:numFmt formatCode="General" sourceLinked="1"/>
        <c:tickLblPos val="nextTo"/>
        <c:crossAx val="94570368"/>
        <c:crosses val="autoZero"/>
        <c:crossBetween val="midCat"/>
      </c:valAx>
      <c:valAx>
        <c:axId val="94570368"/>
        <c:scaling>
          <c:orientation val="minMax"/>
        </c:scaling>
        <c:axPos val="l"/>
        <c:majorGridlines/>
        <c:numFmt formatCode="General" sourceLinked="1"/>
        <c:tickLblPos val="nextTo"/>
        <c:crossAx val="94578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2</xdr:row>
      <xdr:rowOff>66675</xdr:rowOff>
    </xdr:from>
    <xdr:to>
      <xdr:col>12</xdr:col>
      <xdr:colOff>85725</xdr:colOff>
      <xdr:row>19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47625</xdr:rowOff>
    </xdr:from>
    <xdr:to>
      <xdr:col>7</xdr:col>
      <xdr:colOff>304800</xdr:colOff>
      <xdr:row>47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30</xdr:row>
      <xdr:rowOff>47625</xdr:rowOff>
    </xdr:from>
    <xdr:to>
      <xdr:col>15</xdr:col>
      <xdr:colOff>323850</xdr:colOff>
      <xdr:row>47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19050</xdr:colOff>
      <xdr:row>30</xdr:row>
      <xdr:rowOff>57150</xdr:rowOff>
    </xdr:from>
    <xdr:to>
      <xdr:col>23</xdr:col>
      <xdr:colOff>323850</xdr:colOff>
      <xdr:row>47</xdr:row>
      <xdr:rowOff>47625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opLeftCell="H4" workbookViewId="0">
      <selection activeCell="AB21" sqref="AB21"/>
    </sheetView>
  </sheetViews>
  <sheetFormatPr defaultRowHeight="12.75"/>
  <cols>
    <col min="1" max="1" width="9" bestFit="1" customWidth="1"/>
    <col min="2" max="2" width="8.7109375" bestFit="1" customWidth="1"/>
    <col min="3" max="3" width="10.140625" bestFit="1" customWidth="1"/>
    <col min="4" max="4" width="10.42578125" bestFit="1" customWidth="1"/>
    <col min="5" max="5" width="10.42578125" customWidth="1"/>
    <col min="6" max="6" width="9.5703125" customWidth="1"/>
    <col min="7" max="9" width="9.85546875" customWidth="1"/>
    <col min="10" max="10" width="12.140625" style="2" customWidth="1"/>
    <col min="12" max="12" width="9" bestFit="1" customWidth="1"/>
    <col min="13" max="13" width="8.7109375" bestFit="1" customWidth="1"/>
    <col min="14" max="14" width="10.140625" bestFit="1" customWidth="1"/>
    <col min="15" max="15" width="10.42578125" bestFit="1" customWidth="1"/>
    <col min="16" max="17" width="10.42578125" customWidth="1"/>
    <col min="23" max="23" width="9" bestFit="1" customWidth="1"/>
    <col min="24" max="24" width="8.7109375" bestFit="1" customWidth="1"/>
    <col min="25" max="25" width="10.140625" bestFit="1" customWidth="1"/>
    <col min="26" max="26" width="10.42578125" bestFit="1" customWidth="1"/>
    <col min="27" max="27" width="10.42578125" customWidth="1"/>
    <col min="28" max="28" width="18.140625" customWidth="1"/>
    <col min="29" max="29" width="17.28515625" customWidth="1"/>
    <col min="30" max="30" width="9.5703125" bestFit="1" customWidth="1"/>
    <col min="31" max="32" width="9.5703125" customWidth="1"/>
  </cols>
  <sheetData>
    <row r="1" spans="1:33" s="1" customFormat="1" ht="51">
      <c r="A1" s="8" t="s">
        <v>2</v>
      </c>
      <c r="B1" s="9" t="s">
        <v>0</v>
      </c>
      <c r="C1" s="9" t="s">
        <v>1</v>
      </c>
      <c r="D1" s="9" t="s">
        <v>16</v>
      </c>
      <c r="E1" s="9" t="s">
        <v>17</v>
      </c>
      <c r="F1" s="10" t="s">
        <v>6</v>
      </c>
      <c r="G1" s="10" t="s">
        <v>5</v>
      </c>
      <c r="H1" s="10" t="s">
        <v>18</v>
      </c>
      <c r="I1" s="10" t="s">
        <v>19</v>
      </c>
      <c r="J1" s="11" t="s">
        <v>4</v>
      </c>
      <c r="L1" s="8" t="s">
        <v>2</v>
      </c>
      <c r="M1" s="9" t="s">
        <v>0</v>
      </c>
      <c r="N1" s="9" t="s">
        <v>1</v>
      </c>
      <c r="O1" s="9" t="s">
        <v>16</v>
      </c>
      <c r="P1" s="9" t="s">
        <v>17</v>
      </c>
      <c r="Q1" s="9" t="s">
        <v>6</v>
      </c>
      <c r="R1" s="9" t="s">
        <v>5</v>
      </c>
      <c r="S1" s="10" t="s">
        <v>18</v>
      </c>
      <c r="T1" s="10" t="s">
        <v>19</v>
      </c>
      <c r="U1" s="11" t="s">
        <v>4</v>
      </c>
      <c r="W1" s="8" t="s">
        <v>2</v>
      </c>
      <c r="X1" s="9" t="s">
        <v>0</v>
      </c>
      <c r="Y1" s="9" t="s">
        <v>1</v>
      </c>
      <c r="Z1" s="9" t="s">
        <v>16</v>
      </c>
      <c r="AA1" s="9" t="s">
        <v>17</v>
      </c>
      <c r="AB1" s="9" t="s">
        <v>23</v>
      </c>
      <c r="AC1" s="10" t="s">
        <v>6</v>
      </c>
      <c r="AD1" s="10" t="s">
        <v>5</v>
      </c>
      <c r="AE1" s="10" t="s">
        <v>18</v>
      </c>
      <c r="AF1" s="10" t="s">
        <v>19</v>
      </c>
      <c r="AG1" s="11" t="s">
        <v>4</v>
      </c>
    </row>
    <row r="2" spans="1:33" ht="38.25">
      <c r="A2" s="12">
        <v>1</v>
      </c>
      <c r="B2" s="14">
        <v>1</v>
      </c>
      <c r="C2" s="14">
        <v>1</v>
      </c>
      <c r="D2" s="14">
        <f>1.01*2.52</f>
        <v>2.5451999999999999</v>
      </c>
      <c r="E2" s="14">
        <f>1.01*1.68</f>
        <v>1.6967999999999999</v>
      </c>
      <c r="F2" s="14">
        <v>136.69999999999999</v>
      </c>
      <c r="G2" s="14">
        <f>(F2-89.9)*1000*49000/(49000-F2)</f>
        <v>46930.927710572134</v>
      </c>
      <c r="H2" s="14">
        <f>300/G2</f>
        <v>6.3923731030873909E-3</v>
      </c>
      <c r="I2" s="14">
        <f>H2/E2</f>
        <v>3.7673108811217535E-3</v>
      </c>
      <c r="J2" s="15"/>
      <c r="L2" s="12">
        <v>2</v>
      </c>
      <c r="M2" s="14">
        <v>1</v>
      </c>
      <c r="N2" s="14">
        <v>1</v>
      </c>
      <c r="O2" s="14">
        <f>1.47*1.22</f>
        <v>1.7933999999999999</v>
      </c>
      <c r="P2" s="14">
        <f>0.8*1.22</f>
        <v>0.97599999999999998</v>
      </c>
      <c r="Q2" s="14">
        <v>8280</v>
      </c>
      <c r="R2" s="14">
        <f>Q2*49000/(49000-Q2)</f>
        <v>9963.6542239685659</v>
      </c>
      <c r="S2" s="14">
        <f t="shared" ref="S2:S30" si="0">300/R2</f>
        <v>3.0109435078379179E-2</v>
      </c>
      <c r="T2" s="14">
        <f>S2/O2</f>
        <v>1.6789023685948021E-2</v>
      </c>
      <c r="U2" s="15" t="s">
        <v>8</v>
      </c>
      <c r="W2" s="12">
        <v>3</v>
      </c>
      <c r="X2" s="14">
        <v>1</v>
      </c>
      <c r="Y2" s="14">
        <v>1</v>
      </c>
      <c r="Z2" s="14"/>
      <c r="AA2" s="14"/>
      <c r="AB2" s="14">
        <v>0.05</v>
      </c>
      <c r="AC2" s="14">
        <v>148000</v>
      </c>
      <c r="AD2" s="14"/>
      <c r="AE2" s="14"/>
      <c r="AF2" s="14"/>
      <c r="AG2" s="15" t="s">
        <v>9</v>
      </c>
    </row>
    <row r="3" spans="1:33" ht="38.25">
      <c r="A3" s="12">
        <v>1</v>
      </c>
      <c r="B3" s="14">
        <v>1</v>
      </c>
      <c r="C3" s="14">
        <v>2</v>
      </c>
      <c r="D3" s="14">
        <f>2.52*1.18</f>
        <v>2.9735999999999998</v>
      </c>
      <c r="E3" s="14">
        <f>1.18*1.72</f>
        <v>2.0295999999999998</v>
      </c>
      <c r="F3" s="14">
        <v>133</v>
      </c>
      <c r="G3" s="14">
        <f t="shared" ref="G3:G31" si="1">(F3-89.9)*1000*49000/(49000-F3)</f>
        <v>43217.304111158854</v>
      </c>
      <c r="H3" s="14">
        <f t="shared" ref="H3:H31" si="2">300/G3</f>
        <v>6.9416639045409359E-3</v>
      </c>
      <c r="I3" s="14">
        <f t="shared" ref="I3:I6" si="3">H3/E3</f>
        <v>3.4202128027891882E-3</v>
      </c>
      <c r="J3" s="15"/>
      <c r="L3" s="12">
        <v>2</v>
      </c>
      <c r="M3" s="14">
        <v>1</v>
      </c>
      <c r="N3" s="14">
        <v>2</v>
      </c>
      <c r="O3" s="14">
        <f>1.72*1.09</f>
        <v>1.8748</v>
      </c>
      <c r="P3" s="14">
        <f>1.13*1.09</f>
        <v>1.2317</v>
      </c>
      <c r="Q3" s="14">
        <v>0</v>
      </c>
      <c r="R3" s="14"/>
      <c r="S3" s="14"/>
      <c r="T3" s="14"/>
      <c r="U3" s="15" t="s">
        <v>14</v>
      </c>
      <c r="W3" s="12">
        <v>3</v>
      </c>
      <c r="X3" s="14">
        <v>1</v>
      </c>
      <c r="Y3" s="14">
        <v>2</v>
      </c>
      <c r="Z3" s="14"/>
      <c r="AA3" s="14"/>
      <c r="AB3" s="14">
        <v>0.56999999999999995</v>
      </c>
      <c r="AC3" s="14">
        <v>99000</v>
      </c>
      <c r="AD3" s="14"/>
      <c r="AE3" s="14"/>
      <c r="AF3" s="14"/>
      <c r="AG3" s="15" t="s">
        <v>10</v>
      </c>
    </row>
    <row r="4" spans="1:33" ht="38.25">
      <c r="A4" s="12">
        <v>1</v>
      </c>
      <c r="B4" s="14">
        <v>1</v>
      </c>
      <c r="C4" s="14">
        <v>3</v>
      </c>
      <c r="D4" s="14">
        <f>2.52*0.97</f>
        <v>2.4443999999999999</v>
      </c>
      <c r="E4" s="14">
        <f>0.97*1.72</f>
        <v>1.6683999999999999</v>
      </c>
      <c r="F4" s="14">
        <v>136.1</v>
      </c>
      <c r="G4" s="14">
        <f t="shared" si="1"/>
        <v>46328.680273166887</v>
      </c>
      <c r="H4" s="14">
        <f t="shared" si="2"/>
        <v>6.4754704479194295E-3</v>
      </c>
      <c r="I4" s="14">
        <f t="shared" si="3"/>
        <v>3.8812457731475843E-3</v>
      </c>
      <c r="J4" s="15"/>
      <c r="L4" s="12">
        <v>2</v>
      </c>
      <c r="M4" s="14">
        <v>1</v>
      </c>
      <c r="N4" s="14">
        <v>3</v>
      </c>
      <c r="O4" s="14">
        <f>1.51*1.09</f>
        <v>1.6459000000000001</v>
      </c>
      <c r="P4" s="14">
        <f>0.8*1.09</f>
        <v>0.87200000000000011</v>
      </c>
      <c r="Q4" s="14">
        <v>49000</v>
      </c>
      <c r="R4" s="14"/>
      <c r="S4" s="14"/>
      <c r="T4" s="14"/>
      <c r="U4" s="15" t="s">
        <v>8</v>
      </c>
      <c r="W4" s="12">
        <v>3</v>
      </c>
      <c r="X4" s="14">
        <v>1</v>
      </c>
      <c r="Y4" s="14">
        <v>3</v>
      </c>
      <c r="Z4" s="14"/>
      <c r="AA4" s="14"/>
      <c r="AB4" s="14">
        <v>0.05</v>
      </c>
      <c r="AC4" s="14">
        <v>148000</v>
      </c>
      <c r="AD4" s="14"/>
      <c r="AE4" s="14"/>
      <c r="AF4" s="14"/>
      <c r="AG4" s="15" t="s">
        <v>11</v>
      </c>
    </row>
    <row r="5" spans="1:33" ht="38.25">
      <c r="A5" s="12">
        <v>1</v>
      </c>
      <c r="B5" s="14">
        <v>1</v>
      </c>
      <c r="C5" s="14">
        <v>4</v>
      </c>
      <c r="D5" s="14">
        <f>1.09*2.56</f>
        <v>2.7904000000000004</v>
      </c>
      <c r="E5" s="14">
        <f>1.81*1.09</f>
        <v>1.9729000000000001</v>
      </c>
      <c r="F5" s="14">
        <v>99</v>
      </c>
      <c r="G5" s="14"/>
      <c r="H5" s="14"/>
      <c r="I5" s="14"/>
      <c r="J5" s="15" t="s">
        <v>7</v>
      </c>
      <c r="L5" s="12">
        <v>2</v>
      </c>
      <c r="M5" s="14">
        <v>1</v>
      </c>
      <c r="N5" s="14">
        <v>4</v>
      </c>
      <c r="O5" s="14">
        <f>1.6*1.09</f>
        <v>1.7440000000000002</v>
      </c>
      <c r="P5" s="14"/>
      <c r="Q5" s="14">
        <v>49000</v>
      </c>
      <c r="R5" s="14"/>
      <c r="S5" s="14"/>
      <c r="T5" s="14"/>
      <c r="U5" s="15" t="s">
        <v>8</v>
      </c>
      <c r="W5" s="12">
        <v>3</v>
      </c>
      <c r="X5" s="14">
        <v>1</v>
      </c>
      <c r="Y5" s="14">
        <v>4</v>
      </c>
      <c r="Z5" s="14"/>
      <c r="AA5" s="14"/>
      <c r="AB5" s="14">
        <v>0.05</v>
      </c>
      <c r="AC5" s="14">
        <v>148000</v>
      </c>
      <c r="AD5" s="14"/>
      <c r="AE5" s="14"/>
      <c r="AF5" s="14"/>
      <c r="AG5" s="15" t="s">
        <v>11</v>
      </c>
    </row>
    <row r="6" spans="1:33" ht="38.25">
      <c r="A6" s="12">
        <v>1</v>
      </c>
      <c r="B6" s="14">
        <v>1</v>
      </c>
      <c r="C6" s="14">
        <v>5</v>
      </c>
      <c r="D6" s="14">
        <f>2.6*1.09</f>
        <v>2.8340000000000005</v>
      </c>
      <c r="E6" s="14">
        <f>1.93*1.09</f>
        <v>2.1036999999999999</v>
      </c>
      <c r="F6" s="14">
        <v>134.9</v>
      </c>
      <c r="G6" s="14">
        <f t="shared" si="1"/>
        <v>45124.229767257202</v>
      </c>
      <c r="H6" s="14">
        <f t="shared" si="2"/>
        <v>6.6483129251700681E-3</v>
      </c>
      <c r="I6" s="14">
        <f t="shared" si="3"/>
        <v>3.1602951586110514E-3</v>
      </c>
      <c r="J6" s="15"/>
      <c r="L6" s="12">
        <v>2</v>
      </c>
      <c r="M6" s="14">
        <v>1</v>
      </c>
      <c r="N6" s="14">
        <v>5</v>
      </c>
      <c r="O6" s="14">
        <f>1.6*1.13</f>
        <v>1.8079999999999998</v>
      </c>
      <c r="P6" s="14">
        <f>0.97*1.13</f>
        <v>1.0960999999999999</v>
      </c>
      <c r="Q6" s="14">
        <v>0</v>
      </c>
      <c r="R6" s="14"/>
      <c r="S6" s="14"/>
      <c r="T6" s="14"/>
      <c r="U6" s="15" t="s">
        <v>14</v>
      </c>
      <c r="W6" s="12">
        <v>3</v>
      </c>
      <c r="X6" s="14">
        <v>1</v>
      </c>
      <c r="Y6" s="14">
        <v>5</v>
      </c>
      <c r="Z6" s="14"/>
      <c r="AA6" s="14"/>
      <c r="AB6" s="14">
        <v>0.05</v>
      </c>
      <c r="AC6" s="14">
        <v>148000</v>
      </c>
      <c r="AD6" s="14"/>
      <c r="AE6" s="14"/>
      <c r="AF6" s="14"/>
      <c r="AG6" s="15" t="s">
        <v>11</v>
      </c>
    </row>
    <row r="7" spans="1:33" ht="51">
      <c r="A7" s="12">
        <v>1</v>
      </c>
      <c r="B7" s="3">
        <v>2</v>
      </c>
      <c r="C7" s="3">
        <v>1</v>
      </c>
      <c r="D7" s="3">
        <f>3.07*1.6</f>
        <v>4.9119999999999999</v>
      </c>
      <c r="E7" s="3">
        <f>2.27*1.6</f>
        <v>3.6320000000000001</v>
      </c>
      <c r="F7" s="3">
        <v>99</v>
      </c>
      <c r="G7" s="3"/>
      <c r="H7" s="3"/>
      <c r="I7" s="3"/>
      <c r="J7" s="4" t="s">
        <v>7</v>
      </c>
      <c r="L7" s="12">
        <v>2</v>
      </c>
      <c r="M7" s="3">
        <v>2</v>
      </c>
      <c r="N7" s="3">
        <v>1</v>
      </c>
      <c r="O7" s="3">
        <f>2.44*2.02</f>
        <v>4.9287999999999998</v>
      </c>
      <c r="P7" s="3">
        <f>1.6*2.02</f>
        <v>3.2320000000000002</v>
      </c>
      <c r="Q7" s="3">
        <v>2213</v>
      </c>
      <c r="R7" s="3">
        <f>Q7*49000/(49000-Q7)</f>
        <v>2317.6737127834654</v>
      </c>
      <c r="S7" s="3">
        <f t="shared" si="0"/>
        <v>0.12944013574702362</v>
      </c>
      <c r="T7" s="3">
        <f t="shared" ref="T7:T30" si="4">S7/P7</f>
        <v>4.0049546951430572E-2</v>
      </c>
      <c r="U7" s="4"/>
      <c r="W7" s="12">
        <v>3</v>
      </c>
      <c r="X7" s="3">
        <v>2</v>
      </c>
      <c r="Y7" s="3">
        <v>1</v>
      </c>
      <c r="Z7" s="3"/>
      <c r="AA7" s="3"/>
      <c r="AB7" s="3">
        <v>0.54900000000000004</v>
      </c>
      <c r="AC7" s="3">
        <v>99000</v>
      </c>
      <c r="AD7" s="3"/>
      <c r="AE7" s="3"/>
      <c r="AF7" s="3"/>
      <c r="AG7" s="4" t="s">
        <v>12</v>
      </c>
    </row>
    <row r="8" spans="1:33" ht="102">
      <c r="A8" s="12">
        <v>1</v>
      </c>
      <c r="B8" s="3">
        <v>2</v>
      </c>
      <c r="C8" s="3">
        <v>2</v>
      </c>
      <c r="D8" s="3">
        <f>2.14*3.15</f>
        <v>6.7410000000000005</v>
      </c>
      <c r="E8" s="3">
        <f>2.23*2.14</f>
        <v>4.7722000000000007</v>
      </c>
      <c r="F8" s="3">
        <v>123</v>
      </c>
      <c r="G8" s="3">
        <f t="shared" si="1"/>
        <v>33183.296847187834</v>
      </c>
      <c r="H8" s="3">
        <f t="shared" si="2"/>
        <v>9.0406930143658686E-3</v>
      </c>
      <c r="I8" s="3">
        <f t="shared" ref="I8:I31" si="5">H8/E8</f>
        <v>1.8944497326947461E-3</v>
      </c>
      <c r="J8" s="4"/>
      <c r="L8" s="12">
        <v>2</v>
      </c>
      <c r="M8" s="3">
        <v>2</v>
      </c>
      <c r="N8" s="3">
        <v>2</v>
      </c>
      <c r="O8" s="3">
        <f>2.27*1.97</f>
        <v>4.4718999999999998</v>
      </c>
      <c r="P8" s="3">
        <f>1.97*1.22</f>
        <v>2.4034</v>
      </c>
      <c r="Q8" s="3">
        <v>2426</v>
      </c>
      <c r="R8" s="3">
        <f t="shared" ref="R8:R30" si="6">Q8*49000/(49000-Q8)</f>
        <v>2552.3682741443722</v>
      </c>
      <c r="S8" s="3">
        <f t="shared" si="0"/>
        <v>0.11753789726937768</v>
      </c>
      <c r="T8" s="3">
        <f t="shared" si="4"/>
        <v>4.8904842002736822E-2</v>
      </c>
      <c r="U8" s="4"/>
      <c r="W8" s="12">
        <v>3</v>
      </c>
      <c r="X8" s="3">
        <v>2</v>
      </c>
      <c r="Y8" s="3">
        <v>2</v>
      </c>
      <c r="Z8" s="18">
        <f>2.73*1.93</f>
        <v>5.2688999999999995</v>
      </c>
      <c r="AA8" s="3">
        <f>1.93*1.64</f>
        <v>3.1651999999999996</v>
      </c>
      <c r="AB8" s="3">
        <v>4.05</v>
      </c>
      <c r="AC8" s="3">
        <v>99700</v>
      </c>
      <c r="AD8" s="3">
        <f t="shared" ref="AD8:AD9" si="7">49000*(AC8-99000)/(49000+99000-AC8)</f>
        <v>710.14492753623188</v>
      </c>
      <c r="AE8" s="3">
        <f t="shared" ref="AE8:AE31" si="8">300/AD8</f>
        <v>0.42244897959183675</v>
      </c>
      <c r="AF8" s="3">
        <f>AE8/AA8</f>
        <v>0.1334667571059765</v>
      </c>
      <c r="AG8" s="4" t="s">
        <v>13</v>
      </c>
    </row>
    <row r="9" spans="1:33" ht="102">
      <c r="A9" s="12">
        <v>1</v>
      </c>
      <c r="B9" s="3">
        <v>2</v>
      </c>
      <c r="C9" s="3">
        <v>3</v>
      </c>
      <c r="D9" s="3">
        <f>3.07*1.6</f>
        <v>4.9119999999999999</v>
      </c>
      <c r="E9" s="3">
        <f>2.35*1.6</f>
        <v>3.7600000000000002</v>
      </c>
      <c r="F9" s="3">
        <v>125.1</v>
      </c>
      <c r="G9" s="3">
        <f t="shared" si="1"/>
        <v>35290.097780251199</v>
      </c>
      <c r="H9" s="3">
        <f t="shared" si="2"/>
        <v>8.5009682282003746E-3</v>
      </c>
      <c r="I9" s="3">
        <f t="shared" si="5"/>
        <v>2.2608958053724399E-3</v>
      </c>
      <c r="J9" s="4"/>
      <c r="L9" s="12">
        <v>2</v>
      </c>
      <c r="M9" s="3">
        <v>2</v>
      </c>
      <c r="N9" s="3">
        <v>3</v>
      </c>
      <c r="O9" s="3">
        <f>2.06*1.72</f>
        <v>3.5432000000000001</v>
      </c>
      <c r="P9" s="3">
        <f>1.09*1.72</f>
        <v>1.8748</v>
      </c>
      <c r="Q9" s="3">
        <v>2695</v>
      </c>
      <c r="R9" s="3">
        <f t="shared" si="6"/>
        <v>2851.8518518518517</v>
      </c>
      <c r="S9" s="3">
        <f t="shared" si="0"/>
        <v>0.1051948051948052</v>
      </c>
      <c r="T9" s="3">
        <f t="shared" si="4"/>
        <v>5.6109881157886281E-2</v>
      </c>
      <c r="U9" s="4"/>
      <c r="W9" s="12">
        <v>3</v>
      </c>
      <c r="X9" s="3">
        <v>2</v>
      </c>
      <c r="Y9" s="3">
        <v>3</v>
      </c>
      <c r="Z9" s="3">
        <f>2.81*1.39</f>
        <v>3.9058999999999999</v>
      </c>
      <c r="AA9" s="3">
        <f>1.39*1.68</f>
        <v>2.3351999999999999</v>
      </c>
      <c r="AB9" s="3">
        <v>4.0590000000000002</v>
      </c>
      <c r="AC9" s="3">
        <v>99900</v>
      </c>
      <c r="AD9" s="3">
        <f t="shared" si="7"/>
        <v>916.8399168399169</v>
      </c>
      <c r="AE9" s="3">
        <f t="shared" si="8"/>
        <v>0.32721088435374146</v>
      </c>
      <c r="AF9" s="3">
        <f t="shared" ref="AF9:AF31" si="9">AE9/AA9</f>
        <v>0.14012113924021133</v>
      </c>
      <c r="AG9" s="4" t="s">
        <v>13</v>
      </c>
    </row>
    <row r="10" spans="1:33" ht="38.25">
      <c r="A10" s="12">
        <v>1</v>
      </c>
      <c r="B10" s="3">
        <v>2</v>
      </c>
      <c r="C10" s="3">
        <v>4</v>
      </c>
      <c r="D10" s="3">
        <f>3.07*1.6</f>
        <v>4.9119999999999999</v>
      </c>
      <c r="E10" s="3">
        <f>1.6*2.27</f>
        <v>3.6320000000000001</v>
      </c>
      <c r="F10" s="3">
        <v>125.4</v>
      </c>
      <c r="G10" s="3">
        <f t="shared" si="1"/>
        <v>35591.084121404572</v>
      </c>
      <c r="H10" s="3">
        <f t="shared" si="2"/>
        <v>8.4290773210692737E-3</v>
      </c>
      <c r="I10" s="3">
        <f t="shared" si="5"/>
        <v>2.3207812007349322E-3</v>
      </c>
      <c r="J10" s="4"/>
      <c r="L10" s="12">
        <v>2</v>
      </c>
      <c r="M10" s="3">
        <v>2</v>
      </c>
      <c r="N10" s="3">
        <v>4</v>
      </c>
      <c r="O10" s="3">
        <f>1.93*1.51</f>
        <v>2.9142999999999999</v>
      </c>
      <c r="P10" s="3">
        <f>1.51*1.13</f>
        <v>1.7062999999999999</v>
      </c>
      <c r="Q10" s="3">
        <v>0</v>
      </c>
      <c r="R10" s="3"/>
      <c r="S10" s="3"/>
      <c r="T10" s="3"/>
      <c r="U10" s="4" t="s">
        <v>15</v>
      </c>
      <c r="W10" s="12">
        <v>3</v>
      </c>
      <c r="X10" s="3">
        <v>2</v>
      </c>
      <c r="Y10" s="3">
        <v>4</v>
      </c>
      <c r="Z10" s="3"/>
      <c r="AA10" s="3"/>
      <c r="AB10" s="19">
        <v>15.18</v>
      </c>
      <c r="AC10" s="3">
        <v>99000</v>
      </c>
      <c r="AD10" s="3"/>
      <c r="AE10" s="3"/>
      <c r="AF10" s="3"/>
      <c r="AG10" s="4" t="s">
        <v>24</v>
      </c>
    </row>
    <row r="11" spans="1:33">
      <c r="A11" s="12">
        <v>1</v>
      </c>
      <c r="B11" s="3">
        <v>2</v>
      </c>
      <c r="C11" s="3">
        <v>5</v>
      </c>
      <c r="D11" s="3">
        <f>1.64*2.94</f>
        <v>4.8215999999999992</v>
      </c>
      <c r="E11" s="3">
        <f>1.64*2.18</f>
        <v>3.5752000000000002</v>
      </c>
      <c r="F11" s="3">
        <v>125.4</v>
      </c>
      <c r="G11" s="3">
        <f t="shared" si="1"/>
        <v>35591.084121404572</v>
      </c>
      <c r="H11" s="3">
        <f t="shared" si="2"/>
        <v>8.4290773210692737E-3</v>
      </c>
      <c r="I11" s="3">
        <f t="shared" si="5"/>
        <v>2.3576519694196892E-3</v>
      </c>
      <c r="J11" s="4"/>
      <c r="L11" s="12">
        <v>2</v>
      </c>
      <c r="M11" s="3">
        <v>2</v>
      </c>
      <c r="N11" s="3">
        <v>5</v>
      </c>
      <c r="O11" s="3">
        <f>1.85*1.55</f>
        <v>2.8675000000000002</v>
      </c>
      <c r="P11" s="3">
        <f>1.55*0.92</f>
        <v>1.4260000000000002</v>
      </c>
      <c r="Q11" s="3">
        <v>49000</v>
      </c>
      <c r="R11" s="3"/>
      <c r="S11" s="3"/>
      <c r="T11" s="3"/>
      <c r="U11" s="4"/>
      <c r="W11" s="12">
        <v>3</v>
      </c>
      <c r="X11" s="3">
        <v>2</v>
      </c>
      <c r="Y11" s="3">
        <v>5</v>
      </c>
      <c r="Z11" s="3">
        <f>2.73*1.22</f>
        <v>3.3306</v>
      </c>
      <c r="AA11" s="3">
        <f>1.22*1.89</f>
        <v>2.3057999999999996</v>
      </c>
      <c r="AB11" s="19">
        <v>15.18</v>
      </c>
      <c r="AC11" s="3">
        <v>41000</v>
      </c>
      <c r="AD11" s="3">
        <f>AC11*49000/(49000-AC11)</f>
        <v>251125</v>
      </c>
      <c r="AE11" s="3">
        <f t="shared" si="8"/>
        <v>1.1946241911398707E-3</v>
      </c>
      <c r="AF11" s="3">
        <f t="shared" si="9"/>
        <v>5.1809532099048961E-4</v>
      </c>
      <c r="AG11" s="27" t="s">
        <v>31</v>
      </c>
    </row>
    <row r="12" spans="1:33">
      <c r="A12" s="12">
        <v>1</v>
      </c>
      <c r="B12" s="14">
        <v>3</v>
      </c>
      <c r="C12" s="14">
        <v>1</v>
      </c>
      <c r="D12" s="14">
        <f>3.78*1.64</f>
        <v>6.1991999999999994</v>
      </c>
      <c r="E12" s="14">
        <f>1.64*2.86</f>
        <v>4.6903999999999995</v>
      </c>
      <c r="F12" s="14">
        <v>99</v>
      </c>
      <c r="G12" s="14"/>
      <c r="H12" s="14"/>
      <c r="I12" s="14"/>
      <c r="J12" s="15"/>
      <c r="L12" s="12">
        <v>2</v>
      </c>
      <c r="M12" s="14">
        <v>3</v>
      </c>
      <c r="N12" s="14">
        <v>1</v>
      </c>
      <c r="O12" s="14">
        <f>2.65*1.6</f>
        <v>4.24</v>
      </c>
      <c r="P12" s="14">
        <f>1.6*1.97</f>
        <v>3.1520000000000001</v>
      </c>
      <c r="Q12" s="14">
        <v>1986</v>
      </c>
      <c r="R12" s="14">
        <f t="shared" si="6"/>
        <v>2069.8940741055858</v>
      </c>
      <c r="S12" s="14">
        <f t="shared" si="0"/>
        <v>0.14493495283309696</v>
      </c>
      <c r="T12" s="14">
        <f t="shared" si="4"/>
        <v>4.5981901279535838E-2</v>
      </c>
      <c r="U12" s="15"/>
      <c r="W12" s="12">
        <v>3</v>
      </c>
      <c r="X12" s="14">
        <v>3</v>
      </c>
      <c r="Y12" s="14">
        <v>1</v>
      </c>
      <c r="Z12" s="14">
        <f>3.32*1.47</f>
        <v>4.8803999999999998</v>
      </c>
      <c r="AA12" s="14">
        <f>1.47*2.48</f>
        <v>3.6456</v>
      </c>
      <c r="AB12" s="14">
        <v>3.24</v>
      </c>
      <c r="AC12" s="14">
        <v>579</v>
      </c>
      <c r="AD12" s="14">
        <f>AC12*49000/(49000-AC12)</f>
        <v>585.92346296028586</v>
      </c>
      <c r="AE12" s="14">
        <f t="shared" si="8"/>
        <v>0.51201226604631489</v>
      </c>
      <c r="AF12" s="14">
        <f t="shared" si="9"/>
        <v>0.1404466387004375</v>
      </c>
      <c r="AG12" s="15"/>
    </row>
    <row r="13" spans="1:33">
      <c r="A13" s="12">
        <v>1</v>
      </c>
      <c r="B13" s="14">
        <v>3</v>
      </c>
      <c r="C13" s="14">
        <v>2</v>
      </c>
      <c r="D13" s="14">
        <f>3.74*2.35</f>
        <v>8.7890000000000015</v>
      </c>
      <c r="E13" s="14">
        <f>2.35*2.77</f>
        <v>6.5095000000000001</v>
      </c>
      <c r="F13" s="14">
        <v>119.6</v>
      </c>
      <c r="G13" s="14">
        <f t="shared" si="1"/>
        <v>29772.669618088221</v>
      </c>
      <c r="H13" s="14">
        <f t="shared" si="2"/>
        <v>1.0076355390641108E-2</v>
      </c>
      <c r="I13" s="14">
        <f t="shared" si="5"/>
        <v>1.5479461388188199E-3</v>
      </c>
      <c r="J13" s="15"/>
      <c r="L13" s="12">
        <v>2</v>
      </c>
      <c r="M13" s="14">
        <v>3</v>
      </c>
      <c r="N13" s="14">
        <v>2</v>
      </c>
      <c r="O13" s="14">
        <f>2.73*1.81</f>
        <v>4.9413</v>
      </c>
      <c r="P13" s="14">
        <f>1.81*1.81</f>
        <v>3.2761</v>
      </c>
      <c r="Q13" s="14">
        <v>1782</v>
      </c>
      <c r="R13" s="14">
        <f t="shared" si="6"/>
        <v>1849.2524037443347</v>
      </c>
      <c r="S13" s="14">
        <f t="shared" si="0"/>
        <v>0.16222771937057651</v>
      </c>
      <c r="T13" s="14">
        <f t="shared" si="4"/>
        <v>4.9518549302700318E-2</v>
      </c>
      <c r="U13" s="15"/>
      <c r="W13" s="12">
        <v>3</v>
      </c>
      <c r="X13" s="14">
        <v>3</v>
      </c>
      <c r="Y13" s="14">
        <v>2</v>
      </c>
      <c r="Z13" s="14">
        <f>3.23*2.02</f>
        <v>6.5246000000000004</v>
      </c>
      <c r="AA13" s="14">
        <f>2.14*2.02</f>
        <v>4.3228</v>
      </c>
      <c r="AB13" s="14">
        <v>2.61</v>
      </c>
      <c r="AC13" s="14">
        <v>438</v>
      </c>
      <c r="AD13" s="14">
        <f t="shared" ref="AD13:AD31" si="10">AC13*49000/(49000-AC13)</f>
        <v>441.95049627280588</v>
      </c>
      <c r="AE13" s="14">
        <f t="shared" si="8"/>
        <v>0.67880905786972323</v>
      </c>
      <c r="AF13" s="14">
        <f t="shared" si="9"/>
        <v>0.15702994768893386</v>
      </c>
      <c r="AG13" s="15"/>
    </row>
    <row r="14" spans="1:33">
      <c r="A14" s="12">
        <v>1</v>
      </c>
      <c r="B14" s="14">
        <v>3</v>
      </c>
      <c r="C14" s="14">
        <v>3</v>
      </c>
      <c r="D14" s="14">
        <f>3.49*1.72</f>
        <v>6.0028000000000006</v>
      </c>
      <c r="E14" s="14">
        <f>2.65*1.72</f>
        <v>4.5579999999999998</v>
      </c>
      <c r="F14" s="14">
        <v>125.1</v>
      </c>
      <c r="G14" s="14">
        <f t="shared" si="1"/>
        <v>35290.097780251199</v>
      </c>
      <c r="H14" s="14">
        <f t="shared" si="2"/>
        <v>8.5009682282003746E-3</v>
      </c>
      <c r="I14" s="14">
        <f t="shared" si="5"/>
        <v>1.8650654296183359E-3</v>
      </c>
      <c r="J14" s="15"/>
      <c r="L14" s="12">
        <v>2</v>
      </c>
      <c r="M14" s="14">
        <v>3</v>
      </c>
      <c r="N14" s="14">
        <v>3</v>
      </c>
      <c r="O14" s="14">
        <f>2.69*1.47</f>
        <v>3.9542999999999999</v>
      </c>
      <c r="P14" s="14">
        <f>1.47*1.68</f>
        <v>2.4695999999999998</v>
      </c>
      <c r="Q14" s="14">
        <v>2150</v>
      </c>
      <c r="R14" s="14">
        <f t="shared" si="6"/>
        <v>2248.665955176094</v>
      </c>
      <c r="S14" s="14">
        <f t="shared" si="0"/>
        <v>0.13341243474133838</v>
      </c>
      <c r="T14" s="14">
        <f t="shared" si="4"/>
        <v>5.4021879956810168E-2</v>
      </c>
      <c r="U14" s="15"/>
      <c r="W14" s="12">
        <v>3</v>
      </c>
      <c r="X14" s="14">
        <v>3</v>
      </c>
      <c r="Y14" s="14">
        <v>3</v>
      </c>
      <c r="Z14" s="14">
        <f>3.32*1.39</f>
        <v>4.6147999999999998</v>
      </c>
      <c r="AA14" s="14">
        <f>1.39*2.23</f>
        <v>3.0996999999999999</v>
      </c>
      <c r="AB14" s="14">
        <v>3.226</v>
      </c>
      <c r="AC14" s="14">
        <v>575</v>
      </c>
      <c r="AD14" s="14">
        <f t="shared" si="10"/>
        <v>581.82756840474963</v>
      </c>
      <c r="AE14" s="14">
        <f t="shared" si="8"/>
        <v>0.5156166814551908</v>
      </c>
      <c r="AF14" s="14">
        <f t="shared" si="9"/>
        <v>0.16634405957195561</v>
      </c>
      <c r="AG14" s="15"/>
    </row>
    <row r="15" spans="1:33">
      <c r="A15" s="12">
        <v>1</v>
      </c>
      <c r="B15" s="14">
        <v>3</v>
      </c>
      <c r="C15" s="14">
        <v>4</v>
      </c>
      <c r="D15" s="14">
        <f>3.49*1.72</f>
        <v>6.0028000000000006</v>
      </c>
      <c r="E15" s="14">
        <f>2.6*1.72</f>
        <v>4.4720000000000004</v>
      </c>
      <c r="F15" s="14">
        <v>123.9</v>
      </c>
      <c r="G15" s="14">
        <f t="shared" si="1"/>
        <v>34086.18936453604</v>
      </c>
      <c r="H15" s="14">
        <f t="shared" si="2"/>
        <v>8.801218487394959E-3</v>
      </c>
      <c r="I15" s="14">
        <f t="shared" si="5"/>
        <v>1.9680721125659565E-3</v>
      </c>
      <c r="J15" s="15"/>
      <c r="L15" s="12">
        <v>2</v>
      </c>
      <c r="M15" s="14">
        <v>3</v>
      </c>
      <c r="N15" s="14">
        <v>4</v>
      </c>
      <c r="O15" s="14">
        <f>2.86*1.76</f>
        <v>5.0335999999999999</v>
      </c>
      <c r="P15" s="14">
        <f>1.76*1.72</f>
        <v>3.0272000000000001</v>
      </c>
      <c r="Q15" s="14">
        <v>2013</v>
      </c>
      <c r="R15" s="14">
        <f t="shared" si="6"/>
        <v>2099.2402153787216</v>
      </c>
      <c r="S15" s="14">
        <f t="shared" si="0"/>
        <v>0.14290884759268835</v>
      </c>
      <c r="T15" s="14">
        <f t="shared" si="4"/>
        <v>4.7208260964815126E-2</v>
      </c>
      <c r="U15" s="15"/>
      <c r="W15" s="12">
        <v>3</v>
      </c>
      <c r="X15" s="14">
        <v>3</v>
      </c>
      <c r="Y15" s="14">
        <v>4</v>
      </c>
      <c r="Z15" s="14">
        <f>3.28*1.6</f>
        <v>5.2480000000000002</v>
      </c>
      <c r="AA15" s="14">
        <f>1.6*2.31</f>
        <v>3.6960000000000002</v>
      </c>
      <c r="AB15" s="14">
        <v>3.46</v>
      </c>
      <c r="AC15" s="14">
        <v>630</v>
      </c>
      <c r="AD15" s="14">
        <f t="shared" si="10"/>
        <v>638.20549927641105</v>
      </c>
      <c r="AE15" s="14">
        <f t="shared" si="8"/>
        <v>0.47006802721088431</v>
      </c>
      <c r="AF15" s="14">
        <f t="shared" si="9"/>
        <v>0.12718290779515268</v>
      </c>
      <c r="AG15" s="15"/>
    </row>
    <row r="16" spans="1:33">
      <c r="A16" s="12">
        <v>1</v>
      </c>
      <c r="B16" s="14">
        <v>3</v>
      </c>
      <c r="C16" s="14">
        <v>5</v>
      </c>
      <c r="D16" s="14">
        <f>3.49*1.6</f>
        <v>5.5840000000000005</v>
      </c>
      <c r="E16" s="14">
        <f>2.73*1.6</f>
        <v>4.3680000000000003</v>
      </c>
      <c r="F16" s="14">
        <v>124</v>
      </c>
      <c r="G16" s="14">
        <f t="shared" si="1"/>
        <v>34186.512807922081</v>
      </c>
      <c r="H16" s="14">
        <f t="shared" si="2"/>
        <v>8.7753905081094045E-3</v>
      </c>
      <c r="I16" s="14">
        <f t="shared" si="5"/>
        <v>2.0090179734682701E-3</v>
      </c>
      <c r="J16" s="15"/>
      <c r="L16" s="12">
        <v>2</v>
      </c>
      <c r="M16" s="14">
        <v>3</v>
      </c>
      <c r="N16" s="14">
        <v>5</v>
      </c>
      <c r="O16" s="14">
        <f>2.6*1.89</f>
        <v>4.9139999999999997</v>
      </c>
      <c r="P16" s="14">
        <f>1.89*1.47</f>
        <v>2.7782999999999998</v>
      </c>
      <c r="Q16" s="14">
        <v>1615</v>
      </c>
      <c r="R16" s="14">
        <f t="shared" si="6"/>
        <v>1670.0432626358552</v>
      </c>
      <c r="S16" s="14">
        <f t="shared" si="0"/>
        <v>0.17963606495229673</v>
      </c>
      <c r="T16" s="14">
        <f t="shared" si="4"/>
        <v>6.4656827899181785E-2</v>
      </c>
      <c r="U16" s="15"/>
      <c r="W16" s="12">
        <v>3</v>
      </c>
      <c r="X16" s="14">
        <v>3</v>
      </c>
      <c r="Y16" s="14">
        <v>5</v>
      </c>
      <c r="Z16" s="14">
        <f>3.49*1.14</f>
        <v>3.9785999999999997</v>
      </c>
      <c r="AA16" s="14">
        <f>1.47*2.39</f>
        <v>3.5133000000000001</v>
      </c>
      <c r="AB16" s="14">
        <v>3.54</v>
      </c>
      <c r="AC16" s="14">
        <v>650</v>
      </c>
      <c r="AD16" s="14">
        <f t="shared" si="10"/>
        <v>658.73836608066188</v>
      </c>
      <c r="AE16" s="14">
        <f t="shared" si="8"/>
        <v>0.45541601255886965</v>
      </c>
      <c r="AF16" s="14">
        <f t="shared" si="9"/>
        <v>0.12962628086382308</v>
      </c>
      <c r="AG16" s="15"/>
    </row>
    <row r="17" spans="1:33">
      <c r="A17" s="12">
        <v>1</v>
      </c>
      <c r="B17" s="3">
        <v>4</v>
      </c>
      <c r="C17" s="3">
        <v>1</v>
      </c>
      <c r="D17" s="3">
        <f>3.65*2.18</f>
        <v>7.9570000000000007</v>
      </c>
      <c r="E17" s="3">
        <f>2.18*3.07</f>
        <v>6.6926000000000005</v>
      </c>
      <c r="F17" s="3">
        <v>120.7</v>
      </c>
      <c r="G17" s="3">
        <f t="shared" si="1"/>
        <v>30876.05591733105</v>
      </c>
      <c r="H17" s="3">
        <f t="shared" si="2"/>
        <v>9.7162668963689403E-3</v>
      </c>
      <c r="I17" s="3">
        <f t="shared" si="5"/>
        <v>1.4517925613915278E-3</v>
      </c>
      <c r="J17" s="4"/>
      <c r="L17" s="12">
        <v>2</v>
      </c>
      <c r="M17" s="3">
        <v>4</v>
      </c>
      <c r="N17" s="3">
        <v>1</v>
      </c>
      <c r="O17" s="3">
        <f>2.73*1.93</f>
        <v>5.2688999999999995</v>
      </c>
      <c r="P17" s="3">
        <f>1.93*1.89</f>
        <v>3.6476999999999995</v>
      </c>
      <c r="Q17" s="3">
        <v>205</v>
      </c>
      <c r="R17" s="3">
        <f t="shared" si="6"/>
        <v>205.86125627625782</v>
      </c>
      <c r="S17" s="3">
        <f t="shared" si="0"/>
        <v>1.4572921851667495</v>
      </c>
      <c r="T17" s="3">
        <f t="shared" si="4"/>
        <v>0.39950987887346812</v>
      </c>
      <c r="U17" s="27" t="s">
        <v>31</v>
      </c>
      <c r="W17" s="12">
        <v>3</v>
      </c>
      <c r="X17" s="3">
        <v>4</v>
      </c>
      <c r="Y17" s="3">
        <v>1</v>
      </c>
      <c r="Z17" s="3">
        <f>3.36*1.85</f>
        <v>6.2160000000000002</v>
      </c>
      <c r="AA17" s="3">
        <f>1.85*2.39</f>
        <v>4.4215000000000009</v>
      </c>
      <c r="AB17" s="3">
        <v>2.72</v>
      </c>
      <c r="AC17" s="3">
        <v>459</v>
      </c>
      <c r="AD17" s="3">
        <f t="shared" si="10"/>
        <v>463.34026905090542</v>
      </c>
      <c r="AE17" s="3">
        <f t="shared" si="8"/>
        <v>0.64747232226223828</v>
      </c>
      <c r="AF17" s="3">
        <f t="shared" si="9"/>
        <v>0.1464372548371001</v>
      </c>
      <c r="AG17" s="4"/>
    </row>
    <row r="18" spans="1:33">
      <c r="A18" s="12">
        <v>1</v>
      </c>
      <c r="B18" s="3">
        <v>4</v>
      </c>
      <c r="C18" s="3">
        <v>2</v>
      </c>
      <c r="D18" s="3">
        <f>3.53*2.77</f>
        <v>9.7781000000000002</v>
      </c>
      <c r="E18" s="3">
        <f>2.86*2.77</f>
        <v>7.9222000000000001</v>
      </c>
      <c r="F18" s="3">
        <v>119.1</v>
      </c>
      <c r="G18" s="3">
        <f t="shared" si="1"/>
        <v>29271.146807853365</v>
      </c>
      <c r="H18" s="3">
        <f t="shared" si="2"/>
        <v>1.0249000559127764E-2</v>
      </c>
      <c r="I18" s="3">
        <f t="shared" si="5"/>
        <v>1.2937063642836288E-3</v>
      </c>
      <c r="J18" s="4"/>
      <c r="L18" s="12">
        <v>2</v>
      </c>
      <c r="M18" s="3">
        <v>4</v>
      </c>
      <c r="N18" s="3">
        <v>2</v>
      </c>
      <c r="O18" s="3">
        <f>2.73*2.6</f>
        <v>7.0979999999999999</v>
      </c>
      <c r="P18" s="3">
        <f>2.6*2.02</f>
        <v>5.2520000000000007</v>
      </c>
      <c r="Q18" s="3">
        <v>1327</v>
      </c>
      <c r="R18" s="3">
        <f t="shared" si="6"/>
        <v>1363.9376586327692</v>
      </c>
      <c r="S18" s="3">
        <f t="shared" si="0"/>
        <v>0.21995140181166661</v>
      </c>
      <c r="T18" s="3">
        <f t="shared" si="4"/>
        <v>4.1879550992320373E-2</v>
      </c>
      <c r="U18" s="4"/>
      <c r="W18" s="12">
        <v>3</v>
      </c>
      <c r="X18" s="3">
        <v>4</v>
      </c>
      <c r="Y18" s="3">
        <v>2</v>
      </c>
      <c r="Z18" s="3">
        <f>3.19*2.44</f>
        <v>7.7835999999999999</v>
      </c>
      <c r="AA18" s="3">
        <f>2.44*2.1</f>
        <v>5.1239999999999997</v>
      </c>
      <c r="AB18" s="3">
        <v>2.37</v>
      </c>
      <c r="AC18" s="3">
        <v>380</v>
      </c>
      <c r="AD18" s="3">
        <f t="shared" si="10"/>
        <v>382.96997120526532</v>
      </c>
      <c r="AE18" s="3">
        <f t="shared" si="8"/>
        <v>0.78335123523093453</v>
      </c>
      <c r="AF18" s="3">
        <f t="shared" si="9"/>
        <v>0.15287885152828543</v>
      </c>
      <c r="AG18" s="4"/>
    </row>
    <row r="19" spans="1:33">
      <c r="A19" s="12">
        <v>1</v>
      </c>
      <c r="B19" s="3">
        <v>4</v>
      </c>
      <c r="C19" s="3">
        <v>3</v>
      </c>
      <c r="D19" s="3">
        <f>3.32*2.27</f>
        <v>7.5363999999999995</v>
      </c>
      <c r="E19" s="3">
        <f>2.6*2.27</f>
        <v>5.9020000000000001</v>
      </c>
      <c r="F19" s="3">
        <v>122.2</v>
      </c>
      <c r="G19" s="3">
        <f t="shared" si="1"/>
        <v>32380.753634574379</v>
      </c>
      <c r="H19" s="3">
        <f t="shared" si="2"/>
        <v>9.2647627472041468E-3</v>
      </c>
      <c r="I19" s="3">
        <f t="shared" si="5"/>
        <v>1.5697666464256433E-3</v>
      </c>
      <c r="J19" s="4"/>
      <c r="L19" s="12">
        <v>2</v>
      </c>
      <c r="M19" s="3">
        <v>4</v>
      </c>
      <c r="N19" s="3">
        <v>3</v>
      </c>
      <c r="O19" s="3">
        <f>2.73*2.18</f>
        <v>5.9514000000000005</v>
      </c>
      <c r="P19" s="3">
        <f>2.18*1.81</f>
        <v>3.9458000000000002</v>
      </c>
      <c r="Q19" s="3">
        <v>1585</v>
      </c>
      <c r="R19" s="3">
        <f t="shared" si="6"/>
        <v>1637.9837604133713</v>
      </c>
      <c r="S19" s="3">
        <f t="shared" si="0"/>
        <v>0.18315199896993498</v>
      </c>
      <c r="T19" s="3">
        <f t="shared" si="4"/>
        <v>4.6416949406947884E-2</v>
      </c>
      <c r="U19" s="4"/>
      <c r="W19" s="12">
        <v>3</v>
      </c>
      <c r="X19" s="3">
        <v>4</v>
      </c>
      <c r="Y19" s="3">
        <v>3</v>
      </c>
      <c r="Z19" s="3">
        <f>3.32*1.93</f>
        <v>6.4075999999999995</v>
      </c>
      <c r="AA19" s="3">
        <f>1.93*1.93</f>
        <v>3.7248999999999999</v>
      </c>
      <c r="AB19" s="3">
        <v>2.71</v>
      </c>
      <c r="AC19" s="3">
        <v>460</v>
      </c>
      <c r="AD19" s="3">
        <f t="shared" si="10"/>
        <v>464.35929130613926</v>
      </c>
      <c r="AE19" s="3">
        <f t="shared" si="8"/>
        <v>0.64605146406388647</v>
      </c>
      <c r="AF19" s="3">
        <f t="shared" si="9"/>
        <v>0.17344129079005785</v>
      </c>
      <c r="AG19" s="4"/>
    </row>
    <row r="20" spans="1:33">
      <c r="A20" s="12">
        <v>1</v>
      </c>
      <c r="B20" s="3">
        <v>4</v>
      </c>
      <c r="C20" s="3">
        <v>4</v>
      </c>
      <c r="D20" s="3">
        <f>3.49*2.18</f>
        <v>7.608200000000001</v>
      </c>
      <c r="E20" s="3">
        <f>2.6*2.18</f>
        <v>5.668000000000001</v>
      </c>
      <c r="F20" s="3">
        <v>122.2</v>
      </c>
      <c r="G20" s="3">
        <f t="shared" si="1"/>
        <v>32380.753634574379</v>
      </c>
      <c r="H20" s="3">
        <f t="shared" si="2"/>
        <v>9.2647627472041468E-3</v>
      </c>
      <c r="I20" s="3">
        <f t="shared" si="5"/>
        <v>1.6345735263239493E-3</v>
      </c>
      <c r="J20" s="4"/>
      <c r="L20" s="12">
        <v>2</v>
      </c>
      <c r="M20" s="3">
        <v>4</v>
      </c>
      <c r="N20" s="3">
        <v>4</v>
      </c>
      <c r="O20" s="3">
        <f>2.73*2.39</f>
        <v>6.5247000000000002</v>
      </c>
      <c r="P20" s="3">
        <f>2.02*2.39</f>
        <v>4.8277999999999999</v>
      </c>
      <c r="Q20" s="3">
        <v>1354</v>
      </c>
      <c r="R20" s="3">
        <f t="shared" si="6"/>
        <v>1392.4778575326366</v>
      </c>
      <c r="S20" s="3">
        <f t="shared" si="0"/>
        <v>0.21544328218732101</v>
      </c>
      <c r="T20" s="3">
        <f t="shared" si="4"/>
        <v>4.4625560749683296E-2</v>
      </c>
      <c r="U20" s="4"/>
      <c r="W20" s="12">
        <v>3</v>
      </c>
      <c r="X20" s="3">
        <v>4</v>
      </c>
      <c r="Y20" s="3">
        <v>4</v>
      </c>
      <c r="Z20" s="3">
        <f>3.32*1.97</f>
        <v>6.5404</v>
      </c>
      <c r="AA20" s="3">
        <f>1.97*2.27</f>
        <v>4.4718999999999998</v>
      </c>
      <c r="AB20" s="3">
        <v>15.15</v>
      </c>
      <c r="AC20" s="3">
        <v>35135</v>
      </c>
      <c r="AD20" s="3">
        <f t="shared" si="10"/>
        <v>124169.85214569059</v>
      </c>
      <c r="AE20" s="3">
        <f t="shared" si="8"/>
        <v>2.4160453992326972E-3</v>
      </c>
      <c r="AF20" s="3">
        <f t="shared" si="9"/>
        <v>5.4027268034452861E-4</v>
      </c>
      <c r="AG20" s="27" t="s">
        <v>31</v>
      </c>
    </row>
    <row r="21" spans="1:33" ht="38.25">
      <c r="A21" s="12">
        <v>1</v>
      </c>
      <c r="B21" s="3">
        <v>4</v>
      </c>
      <c r="C21" s="3">
        <v>5</v>
      </c>
      <c r="D21" s="3">
        <f>3.53*2.14</f>
        <v>7.5541999999999998</v>
      </c>
      <c r="E21" s="3">
        <f>2.14*2.48</f>
        <v>5.3071999999999999</v>
      </c>
      <c r="F21" s="3">
        <v>121.4</v>
      </c>
      <c r="G21" s="3">
        <f t="shared" si="1"/>
        <v>31578.236692540293</v>
      </c>
      <c r="H21" s="3">
        <f t="shared" si="2"/>
        <v>9.5002137998056371E-3</v>
      </c>
      <c r="I21" s="3">
        <f t="shared" si="5"/>
        <v>1.7900613882660607E-3</v>
      </c>
      <c r="J21" s="4"/>
      <c r="L21" s="12">
        <v>2</v>
      </c>
      <c r="M21" s="3">
        <v>4</v>
      </c>
      <c r="N21" s="3">
        <v>5</v>
      </c>
      <c r="O21" s="3">
        <f>2.56*2.6</f>
        <v>6.6560000000000006</v>
      </c>
      <c r="P21" s="3">
        <f>1.68*2.56</f>
        <v>4.3007999999999997</v>
      </c>
      <c r="Q21" s="3">
        <v>0</v>
      </c>
      <c r="R21" s="3"/>
      <c r="S21" s="3"/>
      <c r="T21" s="3"/>
      <c r="U21" s="26" t="s">
        <v>14</v>
      </c>
      <c r="W21" s="12">
        <v>3</v>
      </c>
      <c r="X21" s="3">
        <v>4</v>
      </c>
      <c r="Y21" s="3">
        <v>5</v>
      </c>
      <c r="Z21" s="3">
        <f>3.44*2.02</f>
        <v>6.9488000000000003</v>
      </c>
      <c r="AA21" s="3">
        <f>2.02*2.18</f>
        <v>4.4036</v>
      </c>
      <c r="AB21" s="3">
        <v>2.65</v>
      </c>
      <c r="AC21" s="3">
        <v>444</v>
      </c>
      <c r="AD21" s="3">
        <f t="shared" si="10"/>
        <v>448.05997199110305</v>
      </c>
      <c r="AE21" s="3">
        <f t="shared" si="8"/>
        <v>0.66955322669608386</v>
      </c>
      <c r="AF21" s="3">
        <f t="shared" si="9"/>
        <v>0.15204678596968024</v>
      </c>
      <c r="AG21" s="4"/>
    </row>
    <row r="22" spans="1:33">
      <c r="A22" s="12">
        <v>1</v>
      </c>
      <c r="B22" s="14">
        <v>5</v>
      </c>
      <c r="C22" s="14">
        <v>1</v>
      </c>
      <c r="D22" s="14">
        <f>4.66*2.73</f>
        <v>12.7218</v>
      </c>
      <c r="E22" s="14">
        <f>3.95*2.73</f>
        <v>10.7835</v>
      </c>
      <c r="F22" s="14">
        <v>115.9</v>
      </c>
      <c r="G22" s="14">
        <f t="shared" si="1"/>
        <v>26061.643765559762</v>
      </c>
      <c r="H22" s="14">
        <f t="shared" si="2"/>
        <v>1.1511169544740974E-2</v>
      </c>
      <c r="I22" s="14">
        <f t="shared" si="5"/>
        <v>1.0674799039960101E-3</v>
      </c>
      <c r="J22" s="15"/>
      <c r="L22" s="12">
        <v>2</v>
      </c>
      <c r="M22" s="14">
        <v>5</v>
      </c>
      <c r="N22" s="14">
        <v>1</v>
      </c>
      <c r="O22" s="14">
        <f>3.7*3.19</f>
        <v>11.803000000000001</v>
      </c>
      <c r="P22" s="14">
        <f>3.19*2.94</f>
        <v>9.3786000000000005</v>
      </c>
      <c r="Q22" s="14">
        <v>823</v>
      </c>
      <c r="R22" s="14">
        <f t="shared" si="6"/>
        <v>837.05917761587477</v>
      </c>
      <c r="S22" s="14">
        <f t="shared" si="0"/>
        <v>0.35839759962308132</v>
      </c>
      <c r="T22" s="14">
        <f t="shared" si="4"/>
        <v>3.8214402962391113E-2</v>
      </c>
      <c r="U22" s="15"/>
      <c r="W22" s="12">
        <v>3</v>
      </c>
      <c r="X22" s="14">
        <v>5</v>
      </c>
      <c r="Y22" s="14">
        <v>1</v>
      </c>
      <c r="Z22" s="14">
        <f>4.2*2.52</f>
        <v>10.584000000000001</v>
      </c>
      <c r="AA22" s="14">
        <f>2.52*3.19</f>
        <v>8.0388000000000002</v>
      </c>
      <c r="AB22" s="14">
        <v>1.49</v>
      </c>
      <c r="AC22" s="14">
        <v>197</v>
      </c>
      <c r="AD22" s="14">
        <f t="shared" si="10"/>
        <v>197.79521750712047</v>
      </c>
      <c r="AE22" s="14">
        <f t="shared" si="8"/>
        <v>1.5167201906143168</v>
      </c>
      <c r="AF22" s="14">
        <f t="shared" si="9"/>
        <v>0.18867495031774853</v>
      </c>
      <c r="AG22" s="15"/>
    </row>
    <row r="23" spans="1:33">
      <c r="A23" s="12">
        <v>1</v>
      </c>
      <c r="B23" s="14">
        <v>5</v>
      </c>
      <c r="C23" s="14">
        <v>2</v>
      </c>
      <c r="D23" s="14">
        <f>4.37*3.07</f>
        <v>13.415899999999999</v>
      </c>
      <c r="E23" s="14">
        <v>11.6046</v>
      </c>
      <c r="F23" s="14">
        <v>115.3</v>
      </c>
      <c r="G23" s="14">
        <f t="shared" si="1"/>
        <v>25459.908723997483</v>
      </c>
      <c r="H23" s="14">
        <f t="shared" si="2"/>
        <v>1.1783231560340673E-2</v>
      </c>
      <c r="I23" s="14">
        <f t="shared" si="5"/>
        <v>1.0153931682557497E-3</v>
      </c>
      <c r="J23" s="15"/>
      <c r="L23" s="12">
        <v>2</v>
      </c>
      <c r="M23" s="14">
        <v>5</v>
      </c>
      <c r="N23" s="14">
        <v>2</v>
      </c>
      <c r="O23" s="14">
        <f>3.61*3.53</f>
        <v>12.7433</v>
      </c>
      <c r="P23" s="14">
        <f>3.53*3.02</f>
        <v>10.660599999999999</v>
      </c>
      <c r="Q23" s="14">
        <v>656</v>
      </c>
      <c r="R23" s="14">
        <f t="shared" si="6"/>
        <v>664.90153897070991</v>
      </c>
      <c r="S23" s="14">
        <f t="shared" si="0"/>
        <v>0.45119462419113987</v>
      </c>
      <c r="T23" s="14">
        <f t="shared" si="4"/>
        <v>4.2323567546961705E-2</v>
      </c>
      <c r="U23" s="15"/>
      <c r="W23" s="12">
        <v>3</v>
      </c>
      <c r="X23" s="14">
        <v>5</v>
      </c>
      <c r="Y23" s="14">
        <v>2</v>
      </c>
      <c r="Z23" s="14">
        <f>4.24*2.77</f>
        <v>11.744800000000001</v>
      </c>
      <c r="AA23" s="14">
        <f>3.07*2.77</f>
        <v>8.5038999999999998</v>
      </c>
      <c r="AB23" s="14">
        <v>1.45</v>
      </c>
      <c r="AC23" s="14">
        <v>191</v>
      </c>
      <c r="AD23" s="14">
        <f t="shared" si="10"/>
        <v>191.74742363088774</v>
      </c>
      <c r="AE23" s="14">
        <f t="shared" si="8"/>
        <v>1.5645581792926595</v>
      </c>
      <c r="AF23" s="14">
        <f t="shared" si="9"/>
        <v>0.1839812532241277</v>
      </c>
      <c r="AG23" s="15"/>
    </row>
    <row r="24" spans="1:33">
      <c r="A24" s="12">
        <v>1</v>
      </c>
      <c r="B24" s="14">
        <v>5</v>
      </c>
      <c r="C24" s="14">
        <v>3</v>
      </c>
      <c r="D24" s="14">
        <f>4.58*2.69</f>
        <v>12.3202</v>
      </c>
      <c r="E24" s="14">
        <f>2.69*3.86</f>
        <v>10.3834</v>
      </c>
      <c r="F24" s="14">
        <v>116.3</v>
      </c>
      <c r="G24" s="14">
        <f t="shared" si="1"/>
        <v>26462.808666283439</v>
      </c>
      <c r="H24" s="14">
        <f t="shared" si="2"/>
        <v>1.1336665120593694E-2</v>
      </c>
      <c r="I24" s="14">
        <f t="shared" si="5"/>
        <v>1.0918066452793589E-3</v>
      </c>
      <c r="J24" s="15"/>
      <c r="L24" s="12">
        <v>2</v>
      </c>
      <c r="M24" s="14">
        <v>5</v>
      </c>
      <c r="N24" s="14">
        <v>3</v>
      </c>
      <c r="O24" s="14">
        <f>3.65*3.23</f>
        <v>11.7895</v>
      </c>
      <c r="P24" s="14">
        <f>3.23*2.98</f>
        <v>9.6253999999999991</v>
      </c>
      <c r="Q24" s="14">
        <v>751</v>
      </c>
      <c r="R24" s="14">
        <f t="shared" si="6"/>
        <v>762.68938216336085</v>
      </c>
      <c r="S24" s="14">
        <f t="shared" si="0"/>
        <v>0.39334492785130032</v>
      </c>
      <c r="T24" s="14">
        <f t="shared" si="4"/>
        <v>4.0865307192563462E-2</v>
      </c>
      <c r="U24" s="15"/>
      <c r="W24" s="12">
        <v>3</v>
      </c>
      <c r="X24" s="14">
        <v>5</v>
      </c>
      <c r="Y24" s="14">
        <v>3</v>
      </c>
      <c r="Z24" s="14">
        <f>4.2*2.35</f>
        <v>9.870000000000001</v>
      </c>
      <c r="AA24" s="14">
        <f>2.35*3.02</f>
        <v>7.0970000000000004</v>
      </c>
      <c r="AB24" s="14">
        <v>1.56</v>
      </c>
      <c r="AC24" s="14">
        <v>210</v>
      </c>
      <c r="AD24" s="14">
        <f t="shared" si="10"/>
        <v>210.9038737446198</v>
      </c>
      <c r="AE24" s="14">
        <f t="shared" si="8"/>
        <v>1.4224489795918367</v>
      </c>
      <c r="AF24" s="14">
        <f t="shared" si="9"/>
        <v>0.2004296152729092</v>
      </c>
      <c r="AG24" s="15"/>
    </row>
    <row r="25" spans="1:33">
      <c r="A25" s="12">
        <v>1</v>
      </c>
      <c r="B25" s="14">
        <v>5</v>
      </c>
      <c r="C25" s="14">
        <v>4</v>
      </c>
      <c r="D25" s="14">
        <f>4.41*2.48</f>
        <v>10.9368</v>
      </c>
      <c r="E25" s="14">
        <f>3.65*2.48</f>
        <v>9.0519999999999996</v>
      </c>
      <c r="F25" s="14">
        <v>117.4</v>
      </c>
      <c r="G25" s="14">
        <f t="shared" si="1"/>
        <v>27566.045995916749</v>
      </c>
      <c r="H25" s="14">
        <f t="shared" si="2"/>
        <v>1.088295361781076E-2</v>
      </c>
      <c r="I25" s="14">
        <f t="shared" si="5"/>
        <v>1.2022706161965047E-3</v>
      </c>
      <c r="J25" s="15"/>
      <c r="L25" s="12">
        <v>2</v>
      </c>
      <c r="M25" s="14">
        <v>5</v>
      </c>
      <c r="N25" s="14">
        <v>4</v>
      </c>
      <c r="O25" s="14">
        <f>3.19*3.86</f>
        <v>12.3134</v>
      </c>
      <c r="P25" s="14">
        <f>3.19*2.81</f>
        <v>8.9639000000000006</v>
      </c>
      <c r="Q25" s="14">
        <v>706</v>
      </c>
      <c r="R25" s="14">
        <f t="shared" si="6"/>
        <v>716.32086801673086</v>
      </c>
      <c r="S25" s="14">
        <f t="shared" si="0"/>
        <v>0.41880672949066311</v>
      </c>
      <c r="T25" s="14">
        <f t="shared" si="4"/>
        <v>4.6721486126648344E-2</v>
      </c>
      <c r="U25" s="15"/>
      <c r="W25" s="12">
        <v>3</v>
      </c>
      <c r="X25" s="14">
        <v>5</v>
      </c>
      <c r="Y25" s="14">
        <v>4</v>
      </c>
      <c r="Z25" s="14">
        <f>4.41*2.27</f>
        <v>10.0107</v>
      </c>
      <c r="AA25" s="14">
        <f>2.27*2.98</f>
        <v>6.7645999999999997</v>
      </c>
      <c r="AB25" s="14">
        <v>1.56</v>
      </c>
      <c r="AC25" s="14">
        <v>210</v>
      </c>
      <c r="AD25" s="14">
        <f t="shared" si="10"/>
        <v>210.9038737446198</v>
      </c>
      <c r="AE25" s="14">
        <f t="shared" si="8"/>
        <v>1.4224489795918367</v>
      </c>
      <c r="AF25" s="14">
        <f t="shared" si="9"/>
        <v>0.21027835786178589</v>
      </c>
      <c r="AG25" s="15"/>
    </row>
    <row r="26" spans="1:33">
      <c r="A26" s="12">
        <v>1</v>
      </c>
      <c r="B26" s="14">
        <v>5</v>
      </c>
      <c r="C26" s="14">
        <v>5</v>
      </c>
      <c r="D26" s="14">
        <f>4.49*2.65</f>
        <v>11.8985</v>
      </c>
      <c r="E26" s="14">
        <f>3.99*2.65</f>
        <v>10.573500000000001</v>
      </c>
      <c r="F26" s="14">
        <v>115.1</v>
      </c>
      <c r="G26" s="14">
        <f t="shared" si="1"/>
        <v>25259.333659269007</v>
      </c>
      <c r="H26" s="14">
        <f t="shared" si="2"/>
        <v>1.1876797862001949E-2</v>
      </c>
      <c r="I26" s="14">
        <f t="shared" si="5"/>
        <v>1.1232607804418544E-3</v>
      </c>
      <c r="J26" s="15"/>
      <c r="L26" s="12">
        <v>2</v>
      </c>
      <c r="M26" s="14">
        <v>5</v>
      </c>
      <c r="N26" s="14">
        <v>5</v>
      </c>
      <c r="O26" s="14">
        <f>3.86*3.32</f>
        <v>12.815199999999999</v>
      </c>
      <c r="P26" s="14">
        <f>3.32*2.86</f>
        <v>9.4951999999999988</v>
      </c>
      <c r="Q26" s="14">
        <v>669</v>
      </c>
      <c r="R26" s="14">
        <f t="shared" si="6"/>
        <v>678.26032980902528</v>
      </c>
      <c r="S26" s="14">
        <f t="shared" si="0"/>
        <v>0.44230804429395076</v>
      </c>
      <c r="T26" s="14">
        <f t="shared" si="4"/>
        <v>4.658227781341634E-2</v>
      </c>
      <c r="U26" s="15"/>
      <c r="W26" s="12">
        <v>3</v>
      </c>
      <c r="X26" s="14">
        <v>5</v>
      </c>
      <c r="Y26" s="14">
        <v>5</v>
      </c>
      <c r="Z26" s="14">
        <f>4.37*2.48</f>
        <v>10.8376</v>
      </c>
      <c r="AA26" s="14">
        <f>2.48*3.19</f>
        <v>7.9112</v>
      </c>
      <c r="AB26" s="14">
        <v>1.49</v>
      </c>
      <c r="AC26" s="14">
        <v>197</v>
      </c>
      <c r="AD26" s="14">
        <f t="shared" si="10"/>
        <v>197.79521750712047</v>
      </c>
      <c r="AE26" s="14">
        <f t="shared" si="8"/>
        <v>1.5167201906143168</v>
      </c>
      <c r="AF26" s="14">
        <f t="shared" si="9"/>
        <v>0.1917180946777122</v>
      </c>
      <c r="AG26" s="15"/>
    </row>
    <row r="27" spans="1:33">
      <c r="A27" s="12">
        <v>1</v>
      </c>
      <c r="B27" s="3">
        <v>6</v>
      </c>
      <c r="C27" s="3">
        <v>1</v>
      </c>
      <c r="D27" s="3">
        <f>7.31*2.52</f>
        <v>18.421199999999999</v>
      </c>
      <c r="E27" s="3">
        <f>6.26*2.52</f>
        <v>15.7752</v>
      </c>
      <c r="F27" s="3">
        <v>112.2</v>
      </c>
      <c r="G27" s="3">
        <f t="shared" si="1"/>
        <v>22351.179639910155</v>
      </c>
      <c r="H27" s="3">
        <f t="shared" si="2"/>
        <v>1.3422110368811205E-2</v>
      </c>
      <c r="I27" s="3">
        <f t="shared" si="5"/>
        <v>8.5083614590060377E-4</v>
      </c>
      <c r="J27" s="4"/>
      <c r="L27" s="12">
        <v>2</v>
      </c>
      <c r="M27" s="3">
        <v>6</v>
      </c>
      <c r="N27" s="3">
        <v>1</v>
      </c>
      <c r="O27" s="3">
        <f>6.64*3.61</f>
        <v>23.970399999999998</v>
      </c>
      <c r="P27" s="3">
        <f>3.61*5.61</f>
        <v>20.252100000000002</v>
      </c>
      <c r="Q27" s="3">
        <v>0</v>
      </c>
      <c r="R27" s="3"/>
      <c r="S27" s="3"/>
      <c r="T27" s="3"/>
      <c r="U27" s="4" t="s">
        <v>7</v>
      </c>
      <c r="W27" s="12">
        <v>3</v>
      </c>
      <c r="X27" s="3">
        <v>6</v>
      </c>
      <c r="Y27" s="3">
        <v>1</v>
      </c>
      <c r="Z27" s="3">
        <f>7.48*2.44</f>
        <v>18.251200000000001</v>
      </c>
      <c r="AA27" s="3">
        <f>2.44*6.05</f>
        <v>14.761999999999999</v>
      </c>
      <c r="AB27" s="3">
        <v>0.93</v>
      </c>
      <c r="AC27" s="3">
        <v>86</v>
      </c>
      <c r="AD27" s="3">
        <f t="shared" si="10"/>
        <v>86.151204154229873</v>
      </c>
      <c r="AE27" s="3">
        <f t="shared" si="8"/>
        <v>3.4822496440436641</v>
      </c>
      <c r="AF27" s="3">
        <f t="shared" si="9"/>
        <v>0.23589280883644928</v>
      </c>
      <c r="AG27" s="4"/>
    </row>
    <row r="28" spans="1:33">
      <c r="A28" s="12">
        <v>1</v>
      </c>
      <c r="B28" s="3">
        <v>6</v>
      </c>
      <c r="C28" s="3">
        <v>2</v>
      </c>
      <c r="D28" s="3">
        <f>7.1*2.86</f>
        <v>20.305999999999997</v>
      </c>
      <c r="E28" s="3">
        <f>6.51*2.86</f>
        <v>18.618599999999997</v>
      </c>
      <c r="F28" s="3">
        <v>111.4</v>
      </c>
      <c r="G28" s="3">
        <f t="shared" si="1"/>
        <v>21548.990971310286</v>
      </c>
      <c r="H28" s="3">
        <f t="shared" si="2"/>
        <v>1.3921765543426673E-2</v>
      </c>
      <c r="I28" s="3">
        <f t="shared" si="5"/>
        <v>7.4773428417962006E-4</v>
      </c>
      <c r="J28" s="4"/>
      <c r="L28" s="12">
        <v>2</v>
      </c>
      <c r="M28" s="3">
        <v>6</v>
      </c>
      <c r="N28" s="3">
        <v>2</v>
      </c>
      <c r="O28" s="3">
        <f>6.68*4.41</f>
        <v>29.4588</v>
      </c>
      <c r="P28" s="3">
        <f>4.41*5.75</f>
        <v>25.357500000000002</v>
      </c>
      <c r="Q28" s="3">
        <v>0</v>
      </c>
      <c r="R28" s="3"/>
      <c r="S28" s="3"/>
      <c r="T28" s="3"/>
      <c r="U28" s="4" t="s">
        <v>7</v>
      </c>
      <c r="W28" s="12">
        <v>3</v>
      </c>
      <c r="X28" s="3">
        <v>6</v>
      </c>
      <c r="Y28" s="3">
        <v>2</v>
      </c>
      <c r="Z28" s="3">
        <f>7.39*2.9</f>
        <v>21.430999999999997</v>
      </c>
      <c r="AA28" s="3">
        <f>2.9*6.13</f>
        <v>17.776999999999997</v>
      </c>
      <c r="AB28" s="3">
        <v>0.88</v>
      </c>
      <c r="AC28" s="3">
        <v>73</v>
      </c>
      <c r="AD28" s="3">
        <f t="shared" si="10"/>
        <v>73.108917366689155</v>
      </c>
      <c r="AE28" s="3">
        <f t="shared" si="8"/>
        <v>4.1034665921162983</v>
      </c>
      <c r="AF28" s="3">
        <f t="shared" si="9"/>
        <v>0.23083009462318158</v>
      </c>
      <c r="AG28" s="4"/>
    </row>
    <row r="29" spans="1:33">
      <c r="A29" s="12">
        <v>1</v>
      </c>
      <c r="B29" s="3">
        <v>6</v>
      </c>
      <c r="C29" s="3">
        <v>3</v>
      </c>
      <c r="D29" s="3">
        <f>7.35*2.48</f>
        <v>18.227999999999998</v>
      </c>
      <c r="E29" s="3">
        <f>6.59*2.48</f>
        <v>16.3432</v>
      </c>
      <c r="F29" s="3">
        <v>99</v>
      </c>
      <c r="G29" s="3"/>
      <c r="H29" s="3"/>
      <c r="I29" s="3"/>
      <c r="J29" s="4"/>
      <c r="L29" s="12">
        <v>2</v>
      </c>
      <c r="M29" s="3">
        <v>6</v>
      </c>
      <c r="N29" s="3">
        <v>3</v>
      </c>
      <c r="O29" s="3">
        <f>3.19*6.59</f>
        <v>21.022099999999998</v>
      </c>
      <c r="P29" s="3">
        <f>5.88*3.19</f>
        <v>18.757200000000001</v>
      </c>
      <c r="Q29" s="3">
        <v>387</v>
      </c>
      <c r="R29" s="3">
        <f t="shared" si="6"/>
        <v>390.08084257297429</v>
      </c>
      <c r="S29" s="3">
        <f t="shared" si="0"/>
        <v>0.76907134947002065</v>
      </c>
      <c r="T29" s="3">
        <f t="shared" si="4"/>
        <v>4.1001394103065525E-2</v>
      </c>
      <c r="U29" s="4"/>
      <c r="W29" s="12">
        <v>3</v>
      </c>
      <c r="X29" s="3">
        <v>6</v>
      </c>
      <c r="Y29" s="3">
        <v>3</v>
      </c>
      <c r="Z29" s="3">
        <f>7.43*2.27</f>
        <v>16.866099999999999</v>
      </c>
      <c r="AA29" s="3">
        <f>2.27*5.84</f>
        <v>13.2568</v>
      </c>
      <c r="AB29" s="3">
        <v>0.97</v>
      </c>
      <c r="AC29" s="3">
        <v>90</v>
      </c>
      <c r="AD29" s="3">
        <f t="shared" si="10"/>
        <v>90.165610304641177</v>
      </c>
      <c r="AE29" s="3">
        <f t="shared" si="8"/>
        <v>3.3272108843537413</v>
      </c>
      <c r="AF29" s="3">
        <f t="shared" si="9"/>
        <v>0.25098144984866194</v>
      </c>
      <c r="AG29" s="4"/>
    </row>
    <row r="30" spans="1:33" ht="38.25">
      <c r="A30" s="12">
        <v>1</v>
      </c>
      <c r="B30" s="3">
        <v>6</v>
      </c>
      <c r="C30" s="3">
        <v>4</v>
      </c>
      <c r="D30" s="3">
        <f>7.39*2.6</f>
        <v>19.213999999999999</v>
      </c>
      <c r="E30" s="3">
        <f>2.6*6.64</f>
        <v>17.263999999999999</v>
      </c>
      <c r="F30" s="7">
        <v>112.2</v>
      </c>
      <c r="G30" s="3">
        <f t="shared" si="1"/>
        <v>22351.179639910155</v>
      </c>
      <c r="H30" s="3">
        <f t="shared" si="2"/>
        <v>1.3422110368811205E-2</v>
      </c>
      <c r="I30" s="3">
        <f t="shared" si="5"/>
        <v>7.7746237076061202E-4</v>
      </c>
      <c r="J30" s="4"/>
      <c r="L30" s="12">
        <v>2</v>
      </c>
      <c r="M30" s="3">
        <v>6</v>
      </c>
      <c r="N30" s="3">
        <v>4</v>
      </c>
      <c r="O30" s="3">
        <f>6.72*2.18</f>
        <v>14.649600000000001</v>
      </c>
      <c r="P30" s="3">
        <f>6.72*2.18</f>
        <v>14.649600000000001</v>
      </c>
      <c r="Q30" s="3">
        <v>679</v>
      </c>
      <c r="R30" s="3">
        <f t="shared" si="6"/>
        <v>688.54121396494281</v>
      </c>
      <c r="S30" s="3">
        <f t="shared" si="0"/>
        <v>0.43570376604249944</v>
      </c>
      <c r="T30" s="3">
        <f t="shared" si="4"/>
        <v>2.9741683461835096E-2</v>
      </c>
      <c r="U30" s="16" t="s">
        <v>20</v>
      </c>
      <c r="W30" s="12">
        <v>3</v>
      </c>
      <c r="X30" s="3">
        <v>6</v>
      </c>
      <c r="Y30" s="3">
        <v>4</v>
      </c>
      <c r="Z30" s="3"/>
      <c r="AA30" s="3"/>
      <c r="AB30" s="3">
        <v>0.95</v>
      </c>
      <c r="AC30" s="7"/>
      <c r="AD30" s="3">
        <f t="shared" si="10"/>
        <v>0</v>
      </c>
      <c r="AE30" s="3"/>
      <c r="AF30" s="3"/>
      <c r="AG30" s="4" t="s">
        <v>25</v>
      </c>
    </row>
    <row r="31" spans="1:33" ht="39" thickBot="1">
      <c r="A31" s="13">
        <v>1</v>
      </c>
      <c r="B31" s="5">
        <v>6</v>
      </c>
      <c r="C31" s="5">
        <v>5</v>
      </c>
      <c r="D31" s="5">
        <f>7.43*2.6</f>
        <v>19.318000000000001</v>
      </c>
      <c r="E31" s="5">
        <f>6.47*2.6</f>
        <v>16.821999999999999</v>
      </c>
      <c r="F31" s="5">
        <v>110.5</v>
      </c>
      <c r="G31" s="5">
        <f t="shared" si="1"/>
        <v>20646.560099816928</v>
      </c>
      <c r="H31" s="5">
        <f t="shared" si="2"/>
        <v>1.4530265504259961E-2</v>
      </c>
      <c r="I31" s="5">
        <f t="shared" si="5"/>
        <v>8.6376563454166938E-4</v>
      </c>
      <c r="J31" s="6"/>
      <c r="L31" s="13">
        <v>2</v>
      </c>
      <c r="M31" s="5">
        <v>6</v>
      </c>
      <c r="N31" s="5">
        <v>5</v>
      </c>
      <c r="O31" s="5"/>
      <c r="P31" s="5"/>
      <c r="Q31" s="5">
        <v>0</v>
      </c>
      <c r="R31" s="5"/>
      <c r="S31" s="5"/>
      <c r="T31" s="5"/>
      <c r="U31" s="17" t="s">
        <v>21</v>
      </c>
      <c r="W31" s="13">
        <v>3</v>
      </c>
      <c r="X31" s="5">
        <v>6</v>
      </c>
      <c r="Y31" s="5">
        <v>5</v>
      </c>
      <c r="Z31" s="5">
        <f>7.27*2.14</f>
        <v>15.5578</v>
      </c>
      <c r="AA31" s="5">
        <f>2.14*6.22</f>
        <v>13.3108</v>
      </c>
      <c r="AB31" s="5">
        <v>0.95</v>
      </c>
      <c r="AC31" s="5">
        <v>89</v>
      </c>
      <c r="AD31" s="5">
        <f t="shared" si="10"/>
        <v>89.161947210239006</v>
      </c>
      <c r="AE31" s="5">
        <f t="shared" si="8"/>
        <v>3.3646640678743407</v>
      </c>
      <c r="AF31" s="5">
        <f t="shared" si="9"/>
        <v>0.25277699821756322</v>
      </c>
      <c r="AG31" s="6"/>
    </row>
    <row r="32" spans="1:33">
      <c r="B32" t="s">
        <v>3</v>
      </c>
    </row>
    <row r="33" spans="26:26">
      <c r="Z33" t="s">
        <v>22</v>
      </c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>
      <selection activeCell="J29" sqref="J29"/>
    </sheetView>
  </sheetViews>
  <sheetFormatPr defaultRowHeight="12.75"/>
  <cols>
    <col min="2" max="2" width="16.7109375" customWidth="1"/>
  </cols>
  <sheetData>
    <row r="1" spans="1:3" ht="25.5">
      <c r="A1" s="23" t="s">
        <v>26</v>
      </c>
      <c r="B1" s="24" t="s">
        <v>27</v>
      </c>
      <c r="C1" s="23" t="s">
        <v>4</v>
      </c>
    </row>
    <row r="2" spans="1:3">
      <c r="A2" s="20">
        <v>0.88</v>
      </c>
      <c r="B2" s="20">
        <v>73</v>
      </c>
    </row>
    <row r="3" spans="1:3">
      <c r="A3" s="20">
        <v>0.93</v>
      </c>
      <c r="B3" s="20">
        <v>86</v>
      </c>
    </row>
    <row r="4" spans="1:3">
      <c r="A4" s="20">
        <v>0.95</v>
      </c>
      <c r="B4" s="20">
        <v>89</v>
      </c>
    </row>
    <row r="5" spans="1:3">
      <c r="A5" s="20">
        <v>0.97</v>
      </c>
      <c r="B5" s="20">
        <v>90</v>
      </c>
    </row>
    <row r="6" spans="1:3">
      <c r="A6" s="20">
        <v>1.45</v>
      </c>
      <c r="B6" s="20">
        <v>191</v>
      </c>
    </row>
    <row r="7" spans="1:3">
      <c r="A7" s="20">
        <v>1.49</v>
      </c>
      <c r="B7" s="20">
        <v>197</v>
      </c>
    </row>
    <row r="8" spans="1:3">
      <c r="A8" s="20">
        <v>1.49</v>
      </c>
      <c r="B8" s="20">
        <v>197</v>
      </c>
    </row>
    <row r="9" spans="1:3">
      <c r="A9" s="20">
        <v>1.56</v>
      </c>
      <c r="B9" s="20">
        <v>210</v>
      </c>
    </row>
    <row r="10" spans="1:3">
      <c r="A10" s="20">
        <v>1.56</v>
      </c>
      <c r="B10" s="20">
        <v>210</v>
      </c>
    </row>
    <row r="11" spans="1:3">
      <c r="A11" s="20">
        <v>2.37</v>
      </c>
      <c r="B11" s="20">
        <v>380</v>
      </c>
    </row>
    <row r="12" spans="1:3">
      <c r="A12" s="20">
        <v>2.61</v>
      </c>
      <c r="B12" s="20">
        <v>438</v>
      </c>
    </row>
    <row r="13" spans="1:3">
      <c r="A13" s="20">
        <v>2.65</v>
      </c>
      <c r="B13" s="20">
        <v>444</v>
      </c>
    </row>
    <row r="14" spans="1:3">
      <c r="A14" s="20">
        <v>2.71</v>
      </c>
      <c r="B14" s="20">
        <v>460</v>
      </c>
    </row>
    <row r="15" spans="1:3">
      <c r="A15" s="20">
        <v>2.72</v>
      </c>
      <c r="B15" s="20">
        <v>459</v>
      </c>
    </row>
    <row r="16" spans="1:3">
      <c r="A16" s="20">
        <v>3.226</v>
      </c>
      <c r="B16" s="20">
        <v>575</v>
      </c>
    </row>
    <row r="17" spans="1:3">
      <c r="A17" s="20">
        <v>3.24</v>
      </c>
      <c r="B17" s="20">
        <v>579</v>
      </c>
    </row>
    <row r="18" spans="1:3">
      <c r="A18" s="20">
        <v>3.46</v>
      </c>
      <c r="B18" s="20">
        <v>630</v>
      </c>
    </row>
    <row r="19" spans="1:3">
      <c r="A19" s="20">
        <v>3.54</v>
      </c>
      <c r="B19" s="20">
        <v>650</v>
      </c>
    </row>
    <row r="20" spans="1:3">
      <c r="A20" s="20">
        <v>4.05</v>
      </c>
      <c r="B20" s="20">
        <v>700</v>
      </c>
    </row>
    <row r="21" spans="1:3">
      <c r="A21" s="20">
        <v>4.0590000000000002</v>
      </c>
      <c r="B21" s="20">
        <v>900</v>
      </c>
      <c r="C21" s="21" t="s">
        <v>28</v>
      </c>
    </row>
    <row r="22" spans="1:3">
      <c r="A22" s="20">
        <v>15.15</v>
      </c>
      <c r="B22" s="20">
        <v>35135</v>
      </c>
      <c r="C22" s="21" t="s">
        <v>28</v>
      </c>
    </row>
    <row r="23" spans="1:3">
      <c r="A23" s="20">
        <v>15.18</v>
      </c>
      <c r="B23" s="20">
        <v>41000</v>
      </c>
      <c r="C23" s="21" t="s">
        <v>28</v>
      </c>
    </row>
  </sheetData>
  <sortState ref="A2:B24">
    <sortCondition ref="A2"/>
  </sortState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L19" sqref="L19"/>
    </sheetView>
  </sheetViews>
  <sheetFormatPr defaultRowHeight="12.75"/>
  <sheetData>
    <row r="1" spans="1:19" ht="13.5" thickBot="1">
      <c r="A1" s="25" t="s">
        <v>29</v>
      </c>
      <c r="B1" s="25"/>
      <c r="I1" s="25" t="s">
        <v>30</v>
      </c>
      <c r="J1" s="25"/>
      <c r="R1" s="25" t="s">
        <v>32</v>
      </c>
      <c r="S1" s="25"/>
    </row>
    <row r="2" spans="1:19" ht="51">
      <c r="A2" s="9" t="s">
        <v>17</v>
      </c>
      <c r="B2" s="10" t="s">
        <v>19</v>
      </c>
      <c r="I2" s="9" t="s">
        <v>17</v>
      </c>
      <c r="J2" s="10" t="s">
        <v>19</v>
      </c>
      <c r="R2" s="9" t="s">
        <v>17</v>
      </c>
      <c r="S2" s="10" t="s">
        <v>19</v>
      </c>
    </row>
    <row r="3" spans="1:19">
      <c r="A3" s="14">
        <v>1.6967999999999999</v>
      </c>
      <c r="B3" s="14">
        <v>3.7673108811217535E-3</v>
      </c>
      <c r="I3" s="3">
        <v>3.2320000000000002</v>
      </c>
      <c r="J3" s="3">
        <v>4.0049546951430572E-2</v>
      </c>
      <c r="R3" s="3">
        <v>3.1651999999999996</v>
      </c>
      <c r="S3" s="3">
        <v>0.1334667571059765</v>
      </c>
    </row>
    <row r="4" spans="1:19">
      <c r="A4" s="14">
        <v>2.0295999999999998</v>
      </c>
      <c r="B4" s="14">
        <v>3.4202128027891882E-3</v>
      </c>
      <c r="I4" s="3">
        <v>2.4034</v>
      </c>
      <c r="J4" s="3">
        <v>4.8904842002736822E-2</v>
      </c>
      <c r="R4" s="3">
        <v>2.3351999999999999</v>
      </c>
      <c r="S4" s="3">
        <v>0.14012113924021133</v>
      </c>
    </row>
    <row r="5" spans="1:19">
      <c r="A5" s="14">
        <v>1.6683999999999999</v>
      </c>
      <c r="B5" s="14">
        <v>3.8812457731475843E-3</v>
      </c>
      <c r="I5" s="3">
        <v>1.8748</v>
      </c>
      <c r="J5" s="3">
        <v>5.6109881157886281E-2</v>
      </c>
      <c r="R5" s="14">
        <v>3.6456</v>
      </c>
      <c r="S5" s="14">
        <v>0.1404466387004375</v>
      </c>
    </row>
    <row r="6" spans="1:19">
      <c r="A6" s="14">
        <v>2.1036999999999999</v>
      </c>
      <c r="B6" s="14">
        <v>3.1602951586110514E-3</v>
      </c>
      <c r="I6" s="14">
        <v>3.2761</v>
      </c>
      <c r="J6" s="14">
        <v>4.9518549302700318E-2</v>
      </c>
      <c r="R6" s="14">
        <v>3.0996999999999999</v>
      </c>
      <c r="S6" s="14">
        <v>0.16634405957195561</v>
      </c>
    </row>
    <row r="7" spans="1:19">
      <c r="A7" s="3">
        <v>4.7722000000000007</v>
      </c>
      <c r="B7" s="3">
        <v>1.8944497326947461E-3</v>
      </c>
      <c r="I7" s="14">
        <v>3.0272000000000001</v>
      </c>
      <c r="J7" s="14">
        <v>4.7208260964815126E-2</v>
      </c>
      <c r="R7" s="14">
        <v>3.5133000000000001</v>
      </c>
      <c r="S7" s="14">
        <v>0.12962628086382308</v>
      </c>
    </row>
    <row r="8" spans="1:19">
      <c r="A8" s="3">
        <v>3.7600000000000002</v>
      </c>
      <c r="B8" s="3">
        <v>2.2608958053724399E-3</v>
      </c>
      <c r="I8" s="14">
        <v>2.7782999999999998</v>
      </c>
      <c r="J8" s="14">
        <v>6.4656827899181785E-2</v>
      </c>
      <c r="R8" s="3">
        <v>4.4215000000000009</v>
      </c>
      <c r="S8" s="3">
        <v>0.1464372548371001</v>
      </c>
    </row>
    <row r="9" spans="1:19">
      <c r="A9" s="3">
        <v>3.6320000000000001</v>
      </c>
      <c r="B9" s="3">
        <v>2.3207812007349322E-3</v>
      </c>
      <c r="I9" s="3">
        <v>5.2520000000000007</v>
      </c>
      <c r="J9" s="3">
        <v>4.1879550992320373E-2</v>
      </c>
      <c r="R9" s="3">
        <v>5.1239999999999997</v>
      </c>
      <c r="S9" s="3">
        <v>0.15287885152828543</v>
      </c>
    </row>
    <row r="10" spans="1:19">
      <c r="A10" s="3">
        <v>3.5752000000000002</v>
      </c>
      <c r="B10" s="3">
        <v>2.3576519694196892E-3</v>
      </c>
      <c r="I10" s="3">
        <v>3.9458000000000002</v>
      </c>
      <c r="J10" s="3">
        <v>4.6416949406947884E-2</v>
      </c>
      <c r="R10" s="3">
        <v>3.7248999999999999</v>
      </c>
      <c r="S10" s="3">
        <v>0.17344129079005785</v>
      </c>
    </row>
    <row r="11" spans="1:19">
      <c r="A11" s="14">
        <v>6.5095000000000001</v>
      </c>
      <c r="B11" s="14">
        <v>1.5479461388188199E-3</v>
      </c>
      <c r="I11" s="14">
        <v>9.3786000000000005</v>
      </c>
      <c r="J11" s="14">
        <v>3.8214402962391113E-2</v>
      </c>
      <c r="R11" s="14">
        <v>8.0388000000000002</v>
      </c>
      <c r="S11" s="14">
        <v>0.18867495031774853</v>
      </c>
    </row>
    <row r="12" spans="1:19">
      <c r="A12" s="14">
        <v>4.5579999999999998</v>
      </c>
      <c r="B12" s="14">
        <v>1.8650654296183359E-3</v>
      </c>
      <c r="I12" s="14">
        <v>10.660599999999999</v>
      </c>
      <c r="J12" s="14">
        <v>4.2323567546961705E-2</v>
      </c>
      <c r="R12" s="14">
        <v>8.5038999999999998</v>
      </c>
      <c r="S12" s="14">
        <v>0.1839812532241277</v>
      </c>
    </row>
    <row r="13" spans="1:19">
      <c r="A13" s="14">
        <v>4.4720000000000004</v>
      </c>
      <c r="B13" s="14">
        <v>1.9680721125659565E-3</v>
      </c>
      <c r="I13" s="14">
        <v>9.6253999999999991</v>
      </c>
      <c r="J13" s="14">
        <v>4.0865307192563462E-2</v>
      </c>
      <c r="R13" s="14">
        <v>7.0970000000000004</v>
      </c>
      <c r="S13" s="14">
        <v>0.2004296152729092</v>
      </c>
    </row>
    <row r="14" spans="1:19">
      <c r="A14" s="14">
        <v>4.3680000000000003</v>
      </c>
      <c r="B14" s="14">
        <v>2.0090179734682701E-3</v>
      </c>
      <c r="I14" s="14">
        <v>8.9639000000000006</v>
      </c>
      <c r="J14" s="14">
        <v>4.6721486126648344E-2</v>
      </c>
      <c r="R14" s="14">
        <v>6.7645999999999997</v>
      </c>
      <c r="S14" s="14">
        <v>0.21027835786178589</v>
      </c>
    </row>
    <row r="15" spans="1:19">
      <c r="A15" s="3">
        <v>6.6926000000000005</v>
      </c>
      <c r="B15" s="3">
        <v>1.4517925613915278E-3</v>
      </c>
      <c r="I15" s="14">
        <v>9.4951999999999988</v>
      </c>
      <c r="J15" s="14">
        <v>4.658227781341634E-2</v>
      </c>
      <c r="R15" s="14">
        <v>7.9112</v>
      </c>
      <c r="S15" s="14">
        <v>0.1917180946777122</v>
      </c>
    </row>
    <row r="16" spans="1:19">
      <c r="A16" s="3">
        <v>7.9222000000000001</v>
      </c>
      <c r="B16" s="3">
        <v>1.2937063642836288E-3</v>
      </c>
      <c r="I16" s="3">
        <v>18.757200000000001</v>
      </c>
      <c r="J16" s="3">
        <v>4.1001394103065525E-2</v>
      </c>
      <c r="R16" s="3">
        <v>14.761999999999999</v>
      </c>
      <c r="S16" s="3">
        <v>0.23589280883644928</v>
      </c>
    </row>
    <row r="17" spans="1:19" ht="13.5" thickBot="1">
      <c r="A17" s="3">
        <v>5.9020000000000001</v>
      </c>
      <c r="B17" s="3">
        <v>1.5697666464256433E-3</v>
      </c>
      <c r="I17" s="5">
        <v>14.649600000000001</v>
      </c>
      <c r="J17" s="5">
        <v>2.9741683461835096E-2</v>
      </c>
      <c r="R17" s="3">
        <v>17.776999999999997</v>
      </c>
      <c r="S17" s="3">
        <v>0.23083009462318158</v>
      </c>
    </row>
    <row r="18" spans="1:19">
      <c r="A18" s="3">
        <v>5.668000000000001</v>
      </c>
      <c r="B18" s="3">
        <v>1.6345735263239493E-3</v>
      </c>
      <c r="I18" s="22" t="s">
        <v>33</v>
      </c>
      <c r="J18">
        <f>AVERAGE(J3:J17)</f>
        <v>4.5346301858993389E-2</v>
      </c>
      <c r="R18" s="3">
        <v>13.2568</v>
      </c>
      <c r="S18" s="3">
        <v>0.25098144984866194</v>
      </c>
    </row>
    <row r="19" spans="1:19" ht="13.5" thickBot="1">
      <c r="A19" s="3">
        <v>5.3071999999999999</v>
      </c>
      <c r="B19" s="3">
        <v>1.7900613882660607E-3</v>
      </c>
      <c r="I19" s="22" t="s">
        <v>34</v>
      </c>
      <c r="J19">
        <f>STDEV(J3:J18)</f>
        <v>7.7862716316004811E-3</v>
      </c>
      <c r="R19" s="5">
        <v>13.3108</v>
      </c>
      <c r="S19" s="5">
        <v>0.25277699821756322</v>
      </c>
    </row>
    <row r="20" spans="1:19">
      <c r="A20" s="14">
        <v>10.7835</v>
      </c>
      <c r="B20" s="14">
        <v>1.0674799039960101E-3</v>
      </c>
      <c r="R20" s="22" t="s">
        <v>33</v>
      </c>
      <c r="S20">
        <f>AVERAGE(S3:S19)</f>
        <v>0.18401917032458745</v>
      </c>
    </row>
    <row r="21" spans="1:19">
      <c r="A21" s="14">
        <v>11.6046</v>
      </c>
      <c r="B21" s="14">
        <v>1.0153931682557497E-3</v>
      </c>
      <c r="R21" s="22" t="s">
        <v>34</v>
      </c>
      <c r="S21">
        <f>STDEV(S3:S19)</f>
        <v>4.1291401972654858E-2</v>
      </c>
    </row>
    <row r="22" spans="1:19">
      <c r="A22" s="14">
        <v>10.3834</v>
      </c>
      <c r="B22" s="14">
        <v>1.0918066452793589E-3</v>
      </c>
    </row>
    <row r="23" spans="1:19">
      <c r="A23" s="14">
        <v>9.0519999999999996</v>
      </c>
      <c r="B23" s="14">
        <v>1.2022706161965047E-3</v>
      </c>
    </row>
    <row r="24" spans="1:19">
      <c r="A24" s="14">
        <v>10.573500000000001</v>
      </c>
      <c r="B24" s="14">
        <v>1.1232607804418544E-3</v>
      </c>
    </row>
    <row r="25" spans="1:19">
      <c r="A25" s="3">
        <v>15.7752</v>
      </c>
      <c r="B25" s="3">
        <v>8.5083614590060377E-4</v>
      </c>
    </row>
    <row r="26" spans="1:19">
      <c r="A26" s="3">
        <v>18.618599999999997</v>
      </c>
      <c r="B26" s="3">
        <v>7.4773428417962006E-4</v>
      </c>
    </row>
    <row r="27" spans="1:19">
      <c r="A27" s="3">
        <v>17.263999999999999</v>
      </c>
      <c r="B27" s="3">
        <v>7.7746237076061202E-4</v>
      </c>
    </row>
    <row r="28" spans="1:19" ht="13.5" thickBot="1">
      <c r="A28" s="5">
        <v>16.821999999999999</v>
      </c>
      <c r="B28" s="5">
        <v>8.6376563454166938E-4</v>
      </c>
    </row>
    <row r="29" spans="1:19">
      <c r="A29" s="22" t="s">
        <v>33</v>
      </c>
      <c r="B29">
        <f>AVERAGE(B3:B28)</f>
        <v>1.8051098082540603E-3</v>
      </c>
    </row>
    <row r="30" spans="1:19">
      <c r="A30" s="22" t="s">
        <v>34</v>
      </c>
      <c r="B30">
        <f>STDEV(B3:B29)</f>
        <v>8.8746138000395699E-4</v>
      </c>
    </row>
  </sheetData>
  <mergeCells count="3">
    <mergeCell ref="A1:B1"/>
    <mergeCell ref="I1:J1"/>
    <mergeCell ref="R1:S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כיול Locking AMP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Tmiron Alon</dc:creator>
  <cp:lastModifiedBy>stud</cp:lastModifiedBy>
  <dcterms:created xsi:type="dcterms:W3CDTF">1996-10-14T23:33:28Z</dcterms:created>
  <dcterms:modified xsi:type="dcterms:W3CDTF">2014-12-21T14:27:20Z</dcterms:modified>
</cp:coreProperties>
</file>